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5" windowWidth="21060" windowHeight="1108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<sst xmlns="http://schemas.openxmlformats.org/spreadsheetml/2006/main" count="93" uniqueCount="69">
  <si>
    <t>Cave 1</t>
  </si>
  <si>
    <t>Part 1</t>
  </si>
  <si>
    <t>Length</t>
  </si>
  <si>
    <t>Width</t>
  </si>
  <si>
    <t>Height</t>
  </si>
  <si>
    <t>Part 2</t>
  </si>
  <si>
    <t>Cave 2</t>
  </si>
  <si>
    <t>Cu.ft</t>
  </si>
  <si>
    <t>Liters</t>
  </si>
  <si>
    <t>Cu.ft =</t>
  </si>
  <si>
    <t>liters</t>
  </si>
  <si>
    <t>Liq.He</t>
  </si>
  <si>
    <t>Density</t>
  </si>
  <si>
    <t>g/liter</t>
  </si>
  <si>
    <t>Kg/liter</t>
  </si>
  <si>
    <t>Kg/cu.meter</t>
  </si>
  <si>
    <t>1/4 CM capacity</t>
  </si>
  <si>
    <t>grams</t>
  </si>
  <si>
    <t>HD-Ice Capcity</t>
  </si>
  <si>
    <t>Kg</t>
  </si>
  <si>
    <t>g/s</t>
  </si>
  <si>
    <t>Flow rate through hole</t>
  </si>
  <si>
    <t>diameter in inches</t>
  </si>
  <si>
    <t>g/s/sq.in</t>
  </si>
  <si>
    <t>sq.ft</t>
  </si>
  <si>
    <t>Kg/s/sq.ft</t>
  </si>
  <si>
    <t>Kg/s</t>
  </si>
  <si>
    <t>Through</t>
  </si>
  <si>
    <t>Time to empty</t>
  </si>
  <si>
    <t>Kg He</t>
  </si>
  <si>
    <t>sec</t>
  </si>
  <si>
    <t>mins</t>
  </si>
  <si>
    <t>Flow rate, P1 pressure in dewar P2 atm. Pressure, Rho desnity of liq; He, v1=0, velocity of He in dewar, v2= velocity of helium exiting the dewar. P1-P2=0.5*Rho*(v1**2-v2**2)</t>
  </si>
  <si>
    <t>P1</t>
  </si>
  <si>
    <t>P2</t>
  </si>
  <si>
    <t>v1</t>
  </si>
  <si>
    <t>v2</t>
  </si>
  <si>
    <t>Pascal</t>
  </si>
  <si>
    <t>PSI</t>
  </si>
  <si>
    <t>Delta P</t>
  </si>
  <si>
    <r>
      <t>cm s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</si>
  <si>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gm cm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s</t>
    </r>
    <r>
      <rPr>
        <vertAlign val="superscript"/>
        <sz val="11"/>
        <color theme="1"/>
        <rFont val="Calibri"/>
        <family val="2"/>
        <scheme val="minor"/>
      </rPr>
      <t>-1</t>
    </r>
  </si>
  <si>
    <t>psig</t>
  </si>
  <si>
    <t>r1</t>
  </si>
  <si>
    <t>r2</t>
  </si>
  <si>
    <t>cm</t>
  </si>
  <si>
    <t>A1</t>
  </si>
  <si>
    <t>A2</t>
  </si>
  <si>
    <t>A1**2</t>
  </si>
  <si>
    <t>A2**2</t>
  </si>
  <si>
    <t>dp*2/rho</t>
  </si>
  <si>
    <t>g/cc</t>
  </si>
  <si>
    <t>Q</t>
  </si>
  <si>
    <t>cc/s</t>
  </si>
  <si>
    <t>liters/s</t>
  </si>
  <si>
    <t>Fill Dewar</t>
  </si>
  <si>
    <t>Buffer Dewar</t>
  </si>
  <si>
    <t xml:space="preserve">Total Helium loss </t>
  </si>
  <si>
    <t>g/s/sqft</t>
  </si>
  <si>
    <t>Helium escape through 1sq.ft</t>
  </si>
  <si>
    <t>g/sq.ft/s</t>
  </si>
  <si>
    <t>Nitrogen</t>
  </si>
  <si>
    <t>dewar</t>
  </si>
  <si>
    <t>Liq.N2</t>
  </si>
  <si>
    <t>Intermediate Steps</t>
  </si>
  <si>
    <t>g/l</t>
  </si>
  <si>
    <t>Total N2 loss</t>
  </si>
  <si>
    <t xml:space="preserve">Flow rate through hole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</si>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</sst>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2" fontId="0" fillId="0" borderId="0" xfId="0" applyNumberFormat="1"/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/>
    <xf numFmtId="164" fontId="0" fillId="2" borderId="0" xfId="0" applyNumberFormat="1" applyFill="1"/>
    <xf numFmtId="164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2" borderId="0" xfId="0" applyNumberFormat="1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workbookViewId="0" topLeftCell="B1">
      <selection activeCell="G47" sqref="G47"/>
    </sheetView>
  </sheetViews>
  <sheetFormatPr defaultColWidth="9.140625" defaultRowHeight="15"/>
  <cols>
    <col min="4" max="4" width="11.421875" style="0" customWidth="1"/>
    <col min="7" max="7" width="8.8515625" style="0" bestFit="1" customWidth="1"/>
    <col min="8" max="8" width="9.421875" style="0" bestFit="1" customWidth="1"/>
    <col min="10" max="10" width="10.421875" style="0" bestFit="1" customWidth="1"/>
    <col min="13" max="13" width="9.421875" style="0" bestFit="1" customWidth="1"/>
    <col min="15" max="16" width="10.421875" style="0" bestFit="1" customWidth="1"/>
    <col min="17" max="17" width="16.421875" style="0" bestFit="1" customWidth="1"/>
    <col min="20" max="21" width="11.140625" style="0" customWidth="1"/>
  </cols>
  <sheetData>
    <row r="1" spans="1:22" ht="14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9</v>
      </c>
      <c r="O1" s="1">
        <v>28.3168</v>
      </c>
      <c r="P1" s="1" t="s">
        <v>10</v>
      </c>
      <c r="Q1" s="1" t="s">
        <v>11</v>
      </c>
      <c r="R1" s="1" t="s">
        <v>12</v>
      </c>
      <c r="S1" s="1">
        <v>0.125</v>
      </c>
      <c r="T1" s="1" t="s">
        <v>51</v>
      </c>
      <c r="U1" s="1"/>
      <c r="V1" s="1"/>
    </row>
    <row r="2" spans="1:22" ht="14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 t="s">
        <v>11</v>
      </c>
      <c r="S2" s="1">
        <v>125</v>
      </c>
      <c r="T2" s="1" t="s">
        <v>13</v>
      </c>
      <c r="U2" s="1"/>
      <c r="V2" s="1"/>
    </row>
    <row r="3" spans="1:22" ht="14.45">
      <c r="A3" s="1"/>
      <c r="B3" s="1"/>
      <c r="C3" s="1"/>
      <c r="D3" s="1" t="s">
        <v>0</v>
      </c>
      <c r="E3" s="1" t="s">
        <v>1</v>
      </c>
      <c r="F3" s="1"/>
      <c r="G3" s="1" t="s">
        <v>0</v>
      </c>
      <c r="H3" s="1" t="s">
        <v>5</v>
      </c>
      <c r="I3" s="1"/>
      <c r="J3" s="1" t="s">
        <v>6</v>
      </c>
      <c r="K3" s="1"/>
      <c r="L3" s="1"/>
      <c r="M3" s="1" t="s">
        <v>0</v>
      </c>
      <c r="N3" s="1"/>
      <c r="O3" s="1" t="s">
        <v>6</v>
      </c>
      <c r="P3" s="1" t="s">
        <v>68</v>
      </c>
      <c r="Q3" s="1"/>
      <c r="R3" s="1"/>
      <c r="S3" s="1">
        <v>0.125</v>
      </c>
      <c r="T3" s="1" t="s">
        <v>14</v>
      </c>
      <c r="U3" s="1"/>
      <c r="V3" s="1"/>
    </row>
    <row r="4" spans="1:22" ht="14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7</v>
      </c>
      <c r="N4" s="1"/>
      <c r="O4" s="1" t="s">
        <v>7</v>
      </c>
      <c r="P4" s="1"/>
      <c r="Q4" s="1"/>
      <c r="R4" s="1"/>
      <c r="S4" s="1">
        <v>125</v>
      </c>
      <c r="T4" s="1" t="s">
        <v>15</v>
      </c>
      <c r="U4" s="1"/>
      <c r="V4" s="1"/>
    </row>
    <row r="5" spans="1:22" ht="14.45">
      <c r="A5" s="1"/>
      <c r="B5" s="1"/>
      <c r="C5" s="1" t="s">
        <v>2</v>
      </c>
      <c r="D5" s="1">
        <v>21</v>
      </c>
      <c r="E5" s="1"/>
      <c r="F5" s="1"/>
      <c r="G5" s="1">
        <v>38</v>
      </c>
      <c r="H5" s="1"/>
      <c r="I5" s="1"/>
      <c r="J5" s="1">
        <v>59</v>
      </c>
      <c r="K5" s="1"/>
      <c r="L5" s="1"/>
      <c r="M5" s="1">
        <f>D5*D6*D7+G5*G6*G7</f>
        <v>7326</v>
      </c>
      <c r="N5" s="1"/>
      <c r="O5" s="1">
        <f>J5*J6*J7</f>
        <v>15576</v>
      </c>
      <c r="P5" s="1">
        <f>M5+O5</f>
        <v>22902</v>
      </c>
      <c r="Q5" s="1"/>
      <c r="R5" s="1"/>
      <c r="S5" s="1"/>
      <c r="T5" s="1"/>
      <c r="U5" s="1"/>
      <c r="V5" s="1"/>
    </row>
    <row r="6" spans="1:22" ht="14.45">
      <c r="A6" s="1"/>
      <c r="B6" s="1"/>
      <c r="C6" s="1" t="s">
        <v>3</v>
      </c>
      <c r="D6" s="1">
        <v>11</v>
      </c>
      <c r="E6" s="1"/>
      <c r="F6" s="1"/>
      <c r="G6" s="1">
        <v>11</v>
      </c>
      <c r="H6" s="1"/>
      <c r="I6" s="1"/>
      <c r="J6" s="1">
        <v>22</v>
      </c>
      <c r="K6" s="1"/>
      <c r="L6" s="1"/>
      <c r="M6" s="1" t="s">
        <v>8</v>
      </c>
      <c r="N6" s="1"/>
      <c r="O6" s="1" t="s">
        <v>8</v>
      </c>
      <c r="P6" s="1"/>
      <c r="Q6" s="1"/>
      <c r="R6" s="1"/>
      <c r="S6" s="1"/>
      <c r="T6" s="1"/>
      <c r="U6" s="1"/>
      <c r="V6" s="1"/>
    </row>
    <row r="7" spans="1:22" ht="14.45">
      <c r="A7" s="1"/>
      <c r="B7" s="1"/>
      <c r="C7" s="1" t="s">
        <v>4</v>
      </c>
      <c r="D7" s="1">
        <v>10</v>
      </c>
      <c r="E7" s="1"/>
      <c r="F7" s="1"/>
      <c r="G7" s="1">
        <v>12</v>
      </c>
      <c r="H7" s="1"/>
      <c r="I7" s="1"/>
      <c r="J7" s="1">
        <v>12</v>
      </c>
      <c r="K7" s="1"/>
      <c r="L7" s="1"/>
      <c r="M7" s="1">
        <f>M5*O1</f>
        <v>207448.8768</v>
      </c>
      <c r="N7" s="1"/>
      <c r="O7" s="1">
        <f>O5*O1</f>
        <v>441062.4768</v>
      </c>
      <c r="P7" s="1">
        <f>M7+O7</f>
        <v>648511.3536</v>
      </c>
      <c r="Q7" s="1"/>
      <c r="R7" s="1" t="s">
        <v>38</v>
      </c>
      <c r="S7" s="1">
        <f>6894.757293178</f>
        <v>6894.757293178</v>
      </c>
      <c r="T7" s="1" t="s">
        <v>37</v>
      </c>
      <c r="U7" s="1"/>
      <c r="V7" s="1"/>
    </row>
    <row r="8" spans="1:22" ht="16.5">
      <c r="A8" s="1"/>
      <c r="B8" s="1"/>
      <c r="C8" s="1"/>
      <c r="D8" s="1">
        <f>D5*D6*D7</f>
        <v>2310</v>
      </c>
      <c r="E8" s="1"/>
      <c r="F8" s="1"/>
      <c r="G8" s="1">
        <f>G5*G6*G7</f>
        <v>5016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>
        <f>S7*10</f>
        <v>68947.57293178</v>
      </c>
      <c r="T8" s="1" t="s">
        <v>41</v>
      </c>
      <c r="U8" s="1"/>
      <c r="V8" s="1"/>
    </row>
    <row r="9" spans="1:22" ht="14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4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 t="s">
        <v>12</v>
      </c>
      <c r="S10" s="1">
        <f>0.807</f>
        <v>0.807</v>
      </c>
      <c r="T10" s="1" t="s">
        <v>51</v>
      </c>
      <c r="U10" s="1"/>
      <c r="V10" s="1"/>
    </row>
    <row r="11" spans="1:22" ht="14.45">
      <c r="A11" s="1"/>
      <c r="B11" s="1"/>
      <c r="C11" s="2" t="s">
        <v>16</v>
      </c>
      <c r="D11" s="2"/>
      <c r="E11" s="2">
        <v>400</v>
      </c>
      <c r="F11" s="2" t="s">
        <v>10</v>
      </c>
      <c r="G11" s="2"/>
      <c r="H11" s="1">
        <f>S2*E11</f>
        <v>50000</v>
      </c>
      <c r="I11" s="1" t="s">
        <v>17</v>
      </c>
      <c r="J11" s="1"/>
      <c r="K11" s="1">
        <f>H11/1000</f>
        <v>50</v>
      </c>
      <c r="L11" s="1" t="s">
        <v>19</v>
      </c>
      <c r="M11" s="1"/>
      <c r="N11" s="1"/>
      <c r="O11" s="1"/>
      <c r="P11" s="1"/>
      <c r="Q11" s="1"/>
      <c r="R11" s="1" t="s">
        <v>63</v>
      </c>
      <c r="S11" s="1">
        <f>S10*1000</f>
        <v>807</v>
      </c>
      <c r="T11" s="1" t="s">
        <v>65</v>
      </c>
      <c r="U11" s="1"/>
      <c r="V11" s="1"/>
    </row>
    <row r="12" spans="1:22" ht="14.4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4.4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4.45">
      <c r="A14" s="1"/>
      <c r="B14" s="1"/>
      <c r="C14" s="11" t="s">
        <v>18</v>
      </c>
      <c r="D14" s="9"/>
      <c r="E14" s="1">
        <v>1550</v>
      </c>
      <c r="F14" s="1" t="s">
        <v>10</v>
      </c>
      <c r="G14" s="1"/>
      <c r="H14" s="1">
        <f>E14*S2</f>
        <v>193750</v>
      </c>
      <c r="I14" s="1" t="s">
        <v>17</v>
      </c>
      <c r="J14" s="1"/>
      <c r="K14" s="1">
        <f>H14/1000</f>
        <v>193.75</v>
      </c>
      <c r="L14" s="1" t="s">
        <v>19</v>
      </c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4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4.45">
      <c r="A16" s="1"/>
      <c r="B16" s="1"/>
      <c r="C16" s="1"/>
      <c r="D16" s="1"/>
      <c r="E16" s="11" t="s">
        <v>22</v>
      </c>
      <c r="F16" s="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4.45">
      <c r="A17" s="1"/>
      <c r="B17" s="1"/>
      <c r="C17" s="3" t="s">
        <v>21</v>
      </c>
      <c r="D17" s="4"/>
      <c r="E17" s="4"/>
      <c r="F17" s="4">
        <v>29</v>
      </c>
      <c r="G17" s="1">
        <v>110</v>
      </c>
      <c r="H17" s="1" t="s">
        <v>20</v>
      </c>
      <c r="I17" s="1">
        <f>G17/(PI()*F17^2/4)</f>
        <v>0.1665354933660736</v>
      </c>
      <c r="J17" s="1" t="s">
        <v>23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4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4.45">
      <c r="A19" s="1"/>
      <c r="B19" s="1"/>
      <c r="C19" s="1" t="s">
        <v>67</v>
      </c>
      <c r="D19" s="1"/>
      <c r="E19" s="1"/>
      <c r="F19" s="1">
        <v>1</v>
      </c>
      <c r="G19" s="1" t="s">
        <v>24</v>
      </c>
      <c r="H19" s="1"/>
      <c r="I19" s="1">
        <f>I17*F19*144</f>
        <v>23.9811110447146</v>
      </c>
      <c r="J19" s="1" t="s">
        <v>58</v>
      </c>
      <c r="K19" s="1"/>
      <c r="L19" s="1">
        <f>I19/1000</f>
        <v>0.0239811110447146</v>
      </c>
      <c r="M19" s="1" t="s">
        <v>25</v>
      </c>
      <c r="N19" s="1"/>
      <c r="O19" s="1"/>
      <c r="P19" s="1"/>
      <c r="Q19" s="1"/>
      <c r="R19" s="1"/>
      <c r="S19" s="1"/>
      <c r="T19" s="1"/>
      <c r="U19" s="1"/>
      <c r="V19" s="1"/>
    </row>
    <row r="20" spans="1:22" ht="14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4.45">
      <c r="A21" s="1"/>
      <c r="B21" s="1"/>
      <c r="C21" s="1"/>
      <c r="D21" s="1"/>
      <c r="E21" s="1" t="s">
        <v>27</v>
      </c>
      <c r="F21" s="1">
        <v>16</v>
      </c>
      <c r="G21" s="1" t="s">
        <v>24</v>
      </c>
      <c r="H21" s="1"/>
      <c r="I21" s="1"/>
      <c r="J21" s="1"/>
      <c r="K21" s="1"/>
      <c r="L21" s="1">
        <f>L19*F21</f>
        <v>0.3836977767154336</v>
      </c>
      <c r="M21" s="1" t="s">
        <v>26</v>
      </c>
      <c r="N21" s="1"/>
      <c r="O21" s="1"/>
      <c r="P21" s="1"/>
      <c r="Q21" s="1"/>
      <c r="R21" s="1"/>
      <c r="S21" s="1"/>
      <c r="T21" s="1"/>
      <c r="U21" s="1"/>
      <c r="V21" s="1"/>
    </row>
    <row r="22" spans="1:22" ht="14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4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4.45">
      <c r="A24" s="1"/>
      <c r="B24" s="1"/>
      <c r="C24" s="1"/>
      <c r="D24" s="1"/>
      <c r="E24" s="1" t="s">
        <v>28</v>
      </c>
      <c r="F24" s="1"/>
      <c r="G24" s="1">
        <f>K11+K14</f>
        <v>243.75</v>
      </c>
      <c r="H24" s="1" t="s">
        <v>29</v>
      </c>
      <c r="I24" s="1"/>
      <c r="J24" s="1">
        <f>G24/L21</f>
        <v>635.2656043164286</v>
      </c>
      <c r="K24" s="1" t="s">
        <v>30</v>
      </c>
      <c r="L24" s="1"/>
      <c r="M24" s="1">
        <f>J24/60</f>
        <v>10.587760071940476</v>
      </c>
      <c r="N24" s="1" t="s">
        <v>31</v>
      </c>
      <c r="O24" s="1"/>
      <c r="P24" s="1"/>
      <c r="Q24" s="1"/>
      <c r="R24" s="1"/>
      <c r="S24" s="1"/>
      <c r="T24" s="1"/>
      <c r="U24" s="1"/>
      <c r="V24" s="1"/>
    </row>
    <row r="25" spans="1:22" ht="14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4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4.45">
      <c r="A27" s="1"/>
      <c r="B27" s="11" t="s">
        <v>32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"/>
      <c r="V27" s="1"/>
    </row>
    <row r="28" spans="1:22" ht="14.4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  <c r="S28" s="1"/>
      <c r="T28" s="1"/>
      <c r="U28" s="1"/>
      <c r="V28" s="1"/>
    </row>
    <row r="29" spans="1:22" ht="14.45">
      <c r="A29" s="5"/>
      <c r="B29" s="5" t="s">
        <v>33</v>
      </c>
      <c r="C29" s="5" t="s">
        <v>34</v>
      </c>
      <c r="D29" s="5" t="s">
        <v>39</v>
      </c>
      <c r="E29" s="5" t="s">
        <v>35</v>
      </c>
      <c r="F29" s="5" t="s">
        <v>36</v>
      </c>
      <c r="G29" s="5" t="s">
        <v>43</v>
      </c>
      <c r="H29" s="5" t="s">
        <v>44</v>
      </c>
      <c r="I29" s="5" t="s">
        <v>52</v>
      </c>
      <c r="J29" s="5"/>
      <c r="K29" s="5"/>
      <c r="L29" s="5"/>
      <c r="M29" s="5"/>
      <c r="N29" s="5"/>
      <c r="O29" s="5"/>
      <c r="P29" s="5"/>
      <c r="Q29" s="5"/>
      <c r="R29" s="1"/>
      <c r="S29" s="1"/>
      <c r="T29" s="1"/>
      <c r="U29" s="1"/>
      <c r="V29" s="1"/>
    </row>
    <row r="30" spans="1:22" ht="16.5">
      <c r="A30" s="5"/>
      <c r="B30" s="5" t="s">
        <v>42</v>
      </c>
      <c r="C30" s="5" t="s">
        <v>42</v>
      </c>
      <c r="D30" s="5" t="s">
        <v>41</v>
      </c>
      <c r="E30" s="5" t="s">
        <v>40</v>
      </c>
      <c r="F30" s="5" t="s">
        <v>40</v>
      </c>
      <c r="G30" s="5" t="s">
        <v>45</v>
      </c>
      <c r="H30" s="5" t="s">
        <v>45</v>
      </c>
      <c r="I30" s="5" t="s">
        <v>53</v>
      </c>
      <c r="J30" s="8" t="s">
        <v>64</v>
      </c>
      <c r="K30" s="8"/>
      <c r="L30" s="8"/>
      <c r="M30" s="8"/>
      <c r="N30" s="8"/>
      <c r="O30" s="5"/>
      <c r="P30" s="5"/>
      <c r="Q30" s="5"/>
      <c r="R30" s="1"/>
      <c r="S30" s="1"/>
      <c r="T30" s="1"/>
      <c r="U30" s="1"/>
      <c r="V30" s="1"/>
    </row>
    <row r="31" spans="1:22" ht="14.45">
      <c r="A31" s="5"/>
      <c r="B31" s="5"/>
      <c r="C31" s="5"/>
      <c r="D31" s="5"/>
      <c r="E31" s="5"/>
      <c r="F31" s="5"/>
      <c r="G31" s="5"/>
      <c r="H31" s="5"/>
      <c r="I31" s="5"/>
      <c r="J31" s="5" t="s">
        <v>50</v>
      </c>
      <c r="K31" s="5" t="s">
        <v>46</v>
      </c>
      <c r="L31" s="5" t="s">
        <v>47</v>
      </c>
      <c r="M31" s="5" t="s">
        <v>48</v>
      </c>
      <c r="N31" s="5" t="s">
        <v>49</v>
      </c>
      <c r="O31" s="5"/>
      <c r="P31" s="5"/>
      <c r="Q31" s="5"/>
      <c r="R31" s="1"/>
      <c r="S31" s="1"/>
      <c r="T31" s="1"/>
      <c r="U31" s="1"/>
      <c r="V31" s="1"/>
    </row>
    <row r="32" spans="1:22" ht="14.45">
      <c r="A32" s="5" t="s">
        <v>55</v>
      </c>
      <c r="B32" s="5">
        <v>2</v>
      </c>
      <c r="C32" s="5">
        <v>0</v>
      </c>
      <c r="D32" s="5">
        <f>(B32-C32)*S8</f>
        <v>137895.14586356</v>
      </c>
      <c r="E32" s="5">
        <v>0</v>
      </c>
      <c r="F32" s="5">
        <f>Q32</f>
        <v>1485.4437007560305</v>
      </c>
      <c r="G32" s="5">
        <v>6.35</v>
      </c>
      <c r="H32" s="5">
        <v>0.635</v>
      </c>
      <c r="I32" s="5">
        <f>L32*F32</f>
        <v>1881.7135823783651</v>
      </c>
      <c r="J32" s="5">
        <f>(2/S1)*D32</f>
        <v>2206322.33381696</v>
      </c>
      <c r="K32" s="5">
        <f>PI()*G32*G32</f>
        <v>126.67686977437442</v>
      </c>
      <c r="L32" s="5">
        <f>PI()*H32*H32</f>
        <v>1.2667686977437445</v>
      </c>
      <c r="M32" s="5">
        <f>K32*K32</f>
        <v>16047.029335833817</v>
      </c>
      <c r="N32" s="5">
        <f>L32*L32</f>
        <v>1.6047029335833822</v>
      </c>
      <c r="O32" s="5">
        <f>1-N32/M32</f>
        <v>0.9999</v>
      </c>
      <c r="P32" s="5">
        <f>J32/O32</f>
        <v>2206542.9881157717</v>
      </c>
      <c r="Q32" s="5">
        <f>P32^0.5</f>
        <v>1485.4437007560305</v>
      </c>
      <c r="R32" s="1"/>
      <c r="S32" s="1"/>
      <c r="T32" s="1"/>
      <c r="U32" s="1"/>
      <c r="V32" s="1"/>
    </row>
    <row r="33" spans="1:17" ht="14.45">
      <c r="A33" s="5"/>
      <c r="B33" s="5"/>
      <c r="C33" s="5"/>
      <c r="D33" s="5"/>
      <c r="E33" s="5"/>
      <c r="F33" s="5"/>
      <c r="G33" s="5"/>
      <c r="H33" s="5"/>
      <c r="I33" s="5">
        <f>I32/1000</f>
        <v>1.881713582378365</v>
      </c>
      <c r="J33" s="5" t="s">
        <v>54</v>
      </c>
      <c r="K33" s="5"/>
      <c r="L33" s="5"/>
      <c r="M33" s="5"/>
      <c r="N33" s="5"/>
      <c r="O33" s="5"/>
      <c r="P33" s="5"/>
      <c r="Q33" s="5"/>
    </row>
    <row r="34" spans="1:17" ht="14.45">
      <c r="A34" s="5"/>
      <c r="B34" s="5"/>
      <c r="C34" s="5"/>
      <c r="D34" s="5"/>
      <c r="E34" s="5"/>
      <c r="F34" s="5"/>
      <c r="G34" s="5"/>
      <c r="H34" s="5"/>
      <c r="I34" s="6">
        <f>I33*S2</f>
        <v>235.21419779729564</v>
      </c>
      <c r="J34" s="6" t="s">
        <v>20</v>
      </c>
      <c r="K34" s="5"/>
      <c r="L34" s="5"/>
      <c r="M34" s="5"/>
      <c r="N34" s="5"/>
      <c r="O34" s="5"/>
      <c r="P34" s="5"/>
      <c r="Q34" s="5"/>
    </row>
    <row r="35" spans="1:17" ht="14.4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4.45">
      <c r="A36" s="5" t="s">
        <v>56</v>
      </c>
      <c r="B36" s="5">
        <f>2</f>
        <v>2</v>
      </c>
      <c r="C36" s="5">
        <v>0</v>
      </c>
      <c r="D36" s="5">
        <f>S8*(B36-C36)</f>
        <v>137895.14586356</v>
      </c>
      <c r="E36" s="5">
        <v>0</v>
      </c>
      <c r="F36" s="5">
        <f>Q36</f>
        <v>1485.4437007560305</v>
      </c>
      <c r="G36" s="5">
        <f>G32/2</f>
        <v>3.175</v>
      </c>
      <c r="H36" s="5">
        <f>H32/2</f>
        <v>0.3175</v>
      </c>
      <c r="I36" s="5">
        <f>L36*F36</f>
        <v>470.4283955945913</v>
      </c>
      <c r="J36" s="5">
        <f>(2/S1)*D36</f>
        <v>2206322.33381696</v>
      </c>
      <c r="K36" s="5">
        <f>PI()*G36*G36</f>
        <v>31.669217443593606</v>
      </c>
      <c r="L36" s="5">
        <f>PI()*H36*H36</f>
        <v>0.3166921744359361</v>
      </c>
      <c r="M36" s="5">
        <f>K36*K36</f>
        <v>1002.9393334896135</v>
      </c>
      <c r="N36" s="5">
        <f>L36*L36</f>
        <v>0.10029393334896139</v>
      </c>
      <c r="O36" s="5">
        <f>1-N36/M36</f>
        <v>0.9999</v>
      </c>
      <c r="P36" s="5">
        <f>J36/O36</f>
        <v>2206542.9881157717</v>
      </c>
      <c r="Q36" s="5">
        <f>P36^0.5</f>
        <v>1485.4437007560305</v>
      </c>
    </row>
    <row r="37" spans="1:17" ht="14.45">
      <c r="A37" s="5"/>
      <c r="B37" s="5"/>
      <c r="C37" s="5"/>
      <c r="D37" s="5"/>
      <c r="E37" s="5"/>
      <c r="F37" s="5"/>
      <c r="G37" s="5"/>
      <c r="H37" s="5"/>
      <c r="I37" s="5">
        <f>I36/1000</f>
        <v>0.47042839559459126</v>
      </c>
      <c r="J37" s="5" t="s">
        <v>54</v>
      </c>
      <c r="K37" s="5"/>
      <c r="L37" s="5"/>
      <c r="M37" s="5"/>
      <c r="N37" s="5"/>
      <c r="O37" s="5"/>
      <c r="P37" s="5"/>
      <c r="Q37" s="5"/>
    </row>
    <row r="38" spans="1:17" ht="14.45">
      <c r="A38" s="5"/>
      <c r="B38" s="5"/>
      <c r="C38" s="5"/>
      <c r="D38" s="5"/>
      <c r="E38" s="5"/>
      <c r="F38" s="5"/>
      <c r="G38" s="5"/>
      <c r="H38" s="5"/>
      <c r="I38" s="6">
        <f>I37*S2</f>
        <v>58.80354944932391</v>
      </c>
      <c r="J38" s="6" t="s">
        <v>20</v>
      </c>
      <c r="K38" s="5"/>
      <c r="L38" s="5"/>
      <c r="M38" s="5"/>
      <c r="N38" s="5"/>
      <c r="O38" s="5"/>
      <c r="P38" s="5"/>
      <c r="Q38" s="5"/>
    </row>
    <row r="39" spans="1:17" ht="14.4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7" t="s">
        <v>57</v>
      </c>
      <c r="O39" s="7"/>
      <c r="P39" s="7">
        <f>I34+I38</f>
        <v>294.01774724661954</v>
      </c>
      <c r="Q39" s="6" t="s">
        <v>20</v>
      </c>
    </row>
    <row r="40" spans="1:17" ht="14.4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8" t="s">
        <v>59</v>
      </c>
      <c r="N40" s="9"/>
      <c r="O40" s="9"/>
      <c r="P40" s="5">
        <f>P39*I19</f>
        <v>7050.8722458380125</v>
      </c>
      <c r="Q40" s="5" t="s">
        <v>60</v>
      </c>
    </row>
    <row r="42" spans="1:18" ht="14.45">
      <c r="A42" t="s">
        <v>61</v>
      </c>
      <c r="B42" s="5">
        <v>200</v>
      </c>
      <c r="C42" s="5">
        <v>0</v>
      </c>
      <c r="D42" s="5">
        <f>S8*(B42-C42)</f>
        <v>13789514.586356</v>
      </c>
      <c r="E42" s="5">
        <v>0</v>
      </c>
      <c r="F42" s="5">
        <f>Q42</f>
        <v>5846.210324362946</v>
      </c>
      <c r="G42" s="5">
        <f>G36</f>
        <v>3.175</v>
      </c>
      <c r="H42" s="5">
        <f>H36</f>
        <v>0.3175</v>
      </c>
      <c r="I42" s="5">
        <f>L42*F42</f>
        <v>1851.449059832321</v>
      </c>
      <c r="J42" s="5">
        <f>(2/S10)*D42</f>
        <v>34174757.33917224</v>
      </c>
      <c r="K42" s="5">
        <f>PI()*G42*G42</f>
        <v>31.669217443593606</v>
      </c>
      <c r="L42" s="5">
        <f>PI()*H42*H42</f>
        <v>0.3166921744359361</v>
      </c>
      <c r="M42" s="5">
        <f>K42*K42</f>
        <v>1002.9393334896135</v>
      </c>
      <c r="N42" s="5">
        <f>L42*L42</f>
        <v>0.10029393334896139</v>
      </c>
      <c r="O42" s="5">
        <f>1-N42/M42</f>
        <v>0.9999</v>
      </c>
      <c r="P42" s="5">
        <f>J42/O42</f>
        <v>34178175.15668791</v>
      </c>
      <c r="Q42" s="5">
        <f>P42^0.5</f>
        <v>5846.210324362946</v>
      </c>
      <c r="R42" s="5"/>
    </row>
    <row r="43" spans="1:18" ht="14.45">
      <c r="A43" t="s">
        <v>62</v>
      </c>
      <c r="B43" s="5"/>
      <c r="C43" s="5"/>
      <c r="D43" s="5"/>
      <c r="E43" s="5"/>
      <c r="F43" s="5"/>
      <c r="G43" s="5"/>
      <c r="H43" s="5"/>
      <c r="I43" s="5">
        <f>I42/1000</f>
        <v>1.851449059832321</v>
      </c>
      <c r="J43" s="5" t="s">
        <v>54</v>
      </c>
      <c r="K43" s="5"/>
      <c r="L43" s="5"/>
      <c r="M43" s="5"/>
      <c r="N43" s="5"/>
      <c r="O43" s="5"/>
      <c r="P43" s="5"/>
      <c r="Q43" s="5"/>
      <c r="R43" s="5"/>
    </row>
    <row r="44" spans="2:18" ht="14.45">
      <c r="B44" s="5"/>
      <c r="C44" s="5"/>
      <c r="D44" s="5"/>
      <c r="E44" s="5"/>
      <c r="F44" s="5"/>
      <c r="G44" s="5"/>
      <c r="H44" s="5"/>
      <c r="I44" s="5">
        <f>I43*S11</f>
        <v>1494.119391284683</v>
      </c>
      <c r="J44" s="5" t="s">
        <v>20</v>
      </c>
      <c r="K44" s="5"/>
      <c r="L44" s="5"/>
      <c r="M44" s="5"/>
      <c r="N44" s="10" t="s">
        <v>66</v>
      </c>
      <c r="O44" s="9"/>
      <c r="P44" s="6">
        <f>I44</f>
        <v>1494.119391284683</v>
      </c>
      <c r="Q44" s="6" t="s">
        <v>20</v>
      </c>
      <c r="R44" s="5"/>
    </row>
    <row r="45" spans="2:18" ht="14.4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2:18" ht="14.4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2:18" ht="14.4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2:18" ht="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</sheetData>
  <mergeCells count="6">
    <mergeCell ref="M40:O40"/>
    <mergeCell ref="N44:O44"/>
    <mergeCell ref="C14:D14"/>
    <mergeCell ref="E16:F16"/>
    <mergeCell ref="B27:T27"/>
    <mergeCell ref="J30:N3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 Areti</dc:creator>
  <cp:keywords/>
  <dc:description/>
  <cp:lastModifiedBy>Mathew Poelker</cp:lastModifiedBy>
  <dcterms:created xsi:type="dcterms:W3CDTF">2015-10-06T20:55:47Z</dcterms:created>
  <dcterms:modified xsi:type="dcterms:W3CDTF">2015-10-26T17:18:50Z</dcterms:modified>
  <cp:category/>
  <cp:version/>
  <cp:contentType/>
  <cp:contentStatus/>
</cp:coreProperties>
</file>