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604" yWindow="-12" windowWidth="11448" windowHeight="9684"/>
  </bookViews>
  <sheets>
    <sheet name="summary" sheetId="1" r:id="rId1"/>
    <sheet name="graph" sheetId="2" r:id="rId2"/>
    <sheet name="angular info" sheetId="3" r:id="rId3"/>
    <sheet name="sources of error" sheetId="4" r:id="rId4"/>
    <sheet name="stats 870nm" sheetId="6" r:id="rId5"/>
    <sheet name="asymmetry" sheetId="5" r:id="rId6"/>
  </sheets>
  <definedNames>
    <definedName name="solver_adj" localSheetId="5" hidden="1">asymmetry!$E$2,asymmetry!$F$2</definedName>
    <definedName name="solver_adj" localSheetId="4" hidden="1">'stats 870nm'!$U$26</definedName>
    <definedName name="solver_cvg" localSheetId="5" hidden="1">0.0001</definedName>
    <definedName name="solver_cvg" localSheetId="4" hidden="1">0.0001</definedName>
    <definedName name="solver_drv" localSheetId="5" hidden="1">1</definedName>
    <definedName name="solver_drv" localSheetId="4" hidden="1">1</definedName>
    <definedName name="solver_eng" localSheetId="5" hidden="1">1</definedName>
    <definedName name="solver_eng" localSheetId="4" hidden="1">1</definedName>
    <definedName name="solver_est" localSheetId="5" hidden="1">1</definedName>
    <definedName name="solver_est" localSheetId="4" hidden="1">1</definedName>
    <definedName name="solver_itr" localSheetId="5" hidden="1">2147483647</definedName>
    <definedName name="solver_itr" localSheetId="4" hidden="1">2147483647</definedName>
    <definedName name="solver_mip" localSheetId="5" hidden="1">2147483647</definedName>
    <definedName name="solver_mip" localSheetId="4" hidden="1">2147483647</definedName>
    <definedName name="solver_mni" localSheetId="5" hidden="1">30</definedName>
    <definedName name="solver_mni" localSheetId="4" hidden="1">30</definedName>
    <definedName name="solver_mrt" localSheetId="5" hidden="1">0.075</definedName>
    <definedName name="solver_mrt" localSheetId="4" hidden="1">0.075</definedName>
    <definedName name="solver_msl" localSheetId="5" hidden="1">2</definedName>
    <definedName name="solver_msl" localSheetId="4" hidden="1">2</definedName>
    <definedName name="solver_neg" localSheetId="5" hidden="1">1</definedName>
    <definedName name="solver_neg" localSheetId="4" hidden="1">1</definedName>
    <definedName name="solver_nod" localSheetId="5" hidden="1">2147483647</definedName>
    <definedName name="solver_nod" localSheetId="4" hidden="1">2147483647</definedName>
    <definedName name="solver_num" localSheetId="5" hidden="1">0</definedName>
    <definedName name="solver_num" localSheetId="4" hidden="1">0</definedName>
    <definedName name="solver_nwt" localSheetId="5" hidden="1">1</definedName>
    <definedName name="solver_nwt" localSheetId="4" hidden="1">1</definedName>
    <definedName name="solver_opt" localSheetId="5" hidden="1">asymmetry!$F$16</definedName>
    <definedName name="solver_opt" localSheetId="4" hidden="1">'stats 870nm'!$U$24</definedName>
    <definedName name="solver_pre" localSheetId="5" hidden="1">0.000001</definedName>
    <definedName name="solver_pre" localSheetId="4" hidden="1">0.000001</definedName>
    <definedName name="solver_rbv" localSheetId="5" hidden="1">1</definedName>
    <definedName name="solver_rbv" localSheetId="4" hidden="1">1</definedName>
    <definedName name="solver_rlx" localSheetId="5" hidden="1">2</definedName>
    <definedName name="solver_rlx" localSheetId="4" hidden="1">2</definedName>
    <definedName name="solver_rsd" localSheetId="5" hidden="1">0</definedName>
    <definedName name="solver_rsd" localSheetId="4" hidden="1">0</definedName>
    <definedName name="solver_scl" localSheetId="5" hidden="1">1</definedName>
    <definedName name="solver_scl" localSheetId="4" hidden="1">1</definedName>
    <definedName name="solver_sho" localSheetId="5" hidden="1">2</definedName>
    <definedName name="solver_sho" localSheetId="4" hidden="1">2</definedName>
    <definedName name="solver_ssz" localSheetId="5" hidden="1">100</definedName>
    <definedName name="solver_ssz" localSheetId="4" hidden="1">100</definedName>
    <definedName name="solver_tim" localSheetId="5" hidden="1">2147483647</definedName>
    <definedName name="solver_tim" localSheetId="4" hidden="1">2147483647</definedName>
    <definedName name="solver_tol" localSheetId="5" hidden="1">0.01</definedName>
    <definedName name="solver_tol" localSheetId="4" hidden="1">0.01</definedName>
    <definedName name="solver_typ" localSheetId="5" hidden="1">2</definedName>
    <definedName name="solver_typ" localSheetId="4" hidden="1">2</definedName>
    <definedName name="solver_val" localSheetId="5" hidden="1">0</definedName>
    <definedName name="solver_val" localSheetId="4" hidden="1">8</definedName>
    <definedName name="solver_ver" localSheetId="5" hidden="1">3</definedName>
    <definedName name="solver_ver" localSheetId="4" hidden="1">3</definedName>
  </definedNames>
  <calcPr calcId="145621"/>
</workbook>
</file>

<file path=xl/calcChain.xml><?xml version="1.0" encoding="utf-8"?>
<calcChain xmlns="http://schemas.openxmlformats.org/spreadsheetml/2006/main">
  <c r="W39" i="6" l="1"/>
  <c r="W14" i="6"/>
  <c r="V59" i="6"/>
  <c r="V60" i="6"/>
  <c r="V61" i="6" s="1"/>
  <c r="V58" i="6"/>
  <c r="V55" i="6"/>
  <c r="V54" i="6" s="1"/>
  <c r="V53" i="6" s="1"/>
  <c r="V56" i="6"/>
  <c r="V57" i="6"/>
  <c r="AL49" i="6"/>
  <c r="AM49" i="6" s="1"/>
  <c r="AC49" i="6" s="1"/>
  <c r="AE49" i="6"/>
  <c r="AD49" i="6"/>
  <c r="AB49" i="6"/>
  <c r="AG49" i="6" s="1"/>
  <c r="E49" i="6"/>
  <c r="AL48" i="6"/>
  <c r="AM48" i="6" s="1"/>
  <c r="AC48" i="6" s="1"/>
  <c r="AE48" i="6"/>
  <c r="AD48" i="6"/>
  <c r="AB48" i="6"/>
  <c r="E48" i="6"/>
  <c r="AM47" i="6"/>
  <c r="AC47" i="6" s="1"/>
  <c r="AL47" i="6"/>
  <c r="AE47" i="6"/>
  <c r="AD47" i="6"/>
  <c r="AB47" i="6"/>
  <c r="E47" i="6"/>
  <c r="AM46" i="6"/>
  <c r="AC46" i="6" s="1"/>
  <c r="AL46" i="6"/>
  <c r="AE46" i="6"/>
  <c r="AD46" i="6"/>
  <c r="AB46" i="6"/>
  <c r="AG46" i="6" s="1"/>
  <c r="E46" i="6"/>
  <c r="AL45" i="6"/>
  <c r="AM45" i="6" s="1"/>
  <c r="AC45" i="6" s="1"/>
  <c r="AE45" i="6"/>
  <c r="AD45" i="6"/>
  <c r="AB45" i="6"/>
  <c r="E45" i="6"/>
  <c r="AL44" i="6"/>
  <c r="AM44" i="6" s="1"/>
  <c r="AC44" i="6" s="1"/>
  <c r="AE44" i="6"/>
  <c r="AD44" i="6"/>
  <c r="AB44" i="6"/>
  <c r="E44" i="6"/>
  <c r="AM43" i="6"/>
  <c r="AC43" i="6" s="1"/>
  <c r="AL43" i="6"/>
  <c r="AE43" i="6"/>
  <c r="AD43" i="6"/>
  <c r="AB43" i="6"/>
  <c r="AG43" i="6" s="1"/>
  <c r="E43" i="6"/>
  <c r="AM42" i="6"/>
  <c r="AC42" i="6" s="1"/>
  <c r="AL42" i="6"/>
  <c r="AE42" i="6"/>
  <c r="AD42" i="6"/>
  <c r="AB42" i="6"/>
  <c r="AG42" i="6" s="1"/>
  <c r="E42" i="6"/>
  <c r="AL41" i="6"/>
  <c r="AM41" i="6" s="1"/>
  <c r="AC41" i="6" s="1"/>
  <c r="AE41" i="6"/>
  <c r="AD41" i="6"/>
  <c r="AB41" i="6"/>
  <c r="AG41" i="6" s="1"/>
  <c r="X41" i="6"/>
  <c r="W41" i="6"/>
  <c r="E41" i="6"/>
  <c r="AD39" i="1"/>
  <c r="AD40" i="1"/>
  <c r="AD41" i="1"/>
  <c r="AD38" i="1"/>
  <c r="AD34" i="1"/>
  <c r="AD35" i="1"/>
  <c r="AD36" i="1"/>
  <c r="AD37" i="1"/>
  <c r="AD33" i="1"/>
  <c r="AD25" i="1"/>
  <c r="AD26" i="1"/>
  <c r="AD27" i="1"/>
  <c r="AD28" i="1"/>
  <c r="AD29" i="1"/>
  <c r="AD30" i="1"/>
  <c r="AD31" i="1"/>
  <c r="AD32" i="1"/>
  <c r="AD24" i="1"/>
  <c r="AD22" i="1"/>
  <c r="AD23" i="1"/>
  <c r="AD21" i="1"/>
  <c r="AD19" i="1"/>
  <c r="AD10" i="1"/>
  <c r="AD11" i="1"/>
  <c r="AD12" i="1"/>
  <c r="AD13" i="1"/>
  <c r="AD14" i="1"/>
  <c r="AD15" i="1"/>
  <c r="AD16" i="1"/>
  <c r="AD17" i="1"/>
  <c r="AD18" i="1"/>
  <c r="AD9" i="1"/>
  <c r="AD4" i="1"/>
  <c r="AD5" i="1"/>
  <c r="AD6" i="1"/>
  <c r="AD7" i="1"/>
  <c r="AD8" i="1"/>
  <c r="AD3" i="1"/>
  <c r="T23" i="6"/>
  <c r="T15" i="6"/>
  <c r="T17" i="6"/>
  <c r="U17" i="6" s="1"/>
  <c r="T18" i="6"/>
  <c r="U18" i="6" s="1"/>
  <c r="T19" i="6"/>
  <c r="U19" i="6" s="1"/>
  <c r="T20" i="6"/>
  <c r="U20" i="6" s="1"/>
  <c r="T21" i="6"/>
  <c r="U21" i="6" s="1"/>
  <c r="T22" i="6"/>
  <c r="U22" i="6" s="1"/>
  <c r="T16" i="6"/>
  <c r="U16" i="6" s="1"/>
  <c r="P21" i="6"/>
  <c r="P20" i="6"/>
  <c r="P19" i="6"/>
  <c r="P17" i="6"/>
  <c r="P15" i="6"/>
  <c r="P16" i="6"/>
  <c r="R41" i="6" l="1"/>
  <c r="R49" i="6"/>
  <c r="S49" i="6" s="1"/>
  <c r="R42" i="6"/>
  <c r="S42" i="6" s="1"/>
  <c r="T42" i="6"/>
  <c r="AG44" i="6"/>
  <c r="AG47" i="6"/>
  <c r="AG45" i="6"/>
  <c r="R43" i="6"/>
  <c r="S43" i="6" s="1"/>
  <c r="R46" i="6"/>
  <c r="S46" i="6" s="1"/>
  <c r="T46" i="6"/>
  <c r="AG48" i="6"/>
  <c r="U24" i="6"/>
  <c r="AL12" i="6"/>
  <c r="AM12" i="6" s="1"/>
  <c r="AC12" i="6" s="1"/>
  <c r="AE12" i="6"/>
  <c r="AD12" i="6"/>
  <c r="AB12" i="6"/>
  <c r="AG12" i="6" s="1"/>
  <c r="E12" i="6"/>
  <c r="AM11" i="6"/>
  <c r="AC11" i="6" s="1"/>
  <c r="AL11" i="6"/>
  <c r="AE11" i="6"/>
  <c r="AD11" i="6"/>
  <c r="AB11" i="6"/>
  <c r="AG11" i="6" s="1"/>
  <c r="E11" i="6"/>
  <c r="AL10" i="6"/>
  <c r="AM10" i="6" s="1"/>
  <c r="AC10" i="6" s="1"/>
  <c r="AE10" i="6"/>
  <c r="AD10" i="6"/>
  <c r="AB10" i="6"/>
  <c r="E10" i="6"/>
  <c r="AL9" i="6"/>
  <c r="AM9" i="6" s="1"/>
  <c r="AC9" i="6" s="1"/>
  <c r="AE9" i="6"/>
  <c r="AD9" i="6"/>
  <c r="AB9" i="6"/>
  <c r="AG9" i="6" s="1"/>
  <c r="E9" i="6"/>
  <c r="AL8" i="6"/>
  <c r="AM8" i="6" s="1"/>
  <c r="AC8" i="6" s="1"/>
  <c r="AE8" i="6"/>
  <c r="AD8" i="6"/>
  <c r="AB8" i="6"/>
  <c r="E8" i="6"/>
  <c r="AM7" i="6"/>
  <c r="AC7" i="6" s="1"/>
  <c r="AL7" i="6"/>
  <c r="AE7" i="6"/>
  <c r="AD7" i="6"/>
  <c r="AB7" i="6"/>
  <c r="AG7" i="6" s="1"/>
  <c r="E7" i="6"/>
  <c r="AL6" i="6"/>
  <c r="AM6" i="6" s="1"/>
  <c r="AC6" i="6" s="1"/>
  <c r="AE6" i="6"/>
  <c r="AD6" i="6"/>
  <c r="AB6" i="6"/>
  <c r="AG6" i="6" s="1"/>
  <c r="E6" i="6"/>
  <c r="AL5" i="6"/>
  <c r="AM5" i="6" s="1"/>
  <c r="AC5" i="6" s="1"/>
  <c r="AE5" i="6"/>
  <c r="AD5" i="6"/>
  <c r="AB5" i="6"/>
  <c r="E5" i="6"/>
  <c r="AL4" i="6"/>
  <c r="AM4" i="6" s="1"/>
  <c r="AC4" i="6" s="1"/>
  <c r="AE4" i="6"/>
  <c r="AD4" i="6"/>
  <c r="AB4" i="6"/>
  <c r="AG4" i="6" s="1"/>
  <c r="E4" i="6"/>
  <c r="AM3" i="6"/>
  <c r="AC3" i="6" s="1"/>
  <c r="AL3" i="6"/>
  <c r="AE3" i="6"/>
  <c r="AD3" i="6"/>
  <c r="AB3" i="6"/>
  <c r="AG3" i="6" s="1"/>
  <c r="X3" i="6"/>
  <c r="W3" i="6"/>
  <c r="E3" i="6"/>
  <c r="R48" i="6" l="1"/>
  <c r="S48" i="6" s="1"/>
  <c r="S41" i="6"/>
  <c r="R45" i="6"/>
  <c r="S45" i="6" s="1"/>
  <c r="T45" i="6"/>
  <c r="T41" i="6"/>
  <c r="R47" i="6"/>
  <c r="S47" i="6" s="1"/>
  <c r="T43" i="6"/>
  <c r="R44" i="6"/>
  <c r="S44" i="6" s="1"/>
  <c r="T49" i="6"/>
  <c r="R6" i="6"/>
  <c r="S6" i="6" s="1"/>
  <c r="R12" i="6"/>
  <c r="S12" i="6" s="1"/>
  <c r="T12" i="6"/>
  <c r="R7" i="6"/>
  <c r="S7" i="6" s="1"/>
  <c r="T7" i="6"/>
  <c r="AG10" i="6"/>
  <c r="R3" i="6"/>
  <c r="T9" i="6"/>
  <c r="R9" i="6"/>
  <c r="S9" i="6" s="1"/>
  <c r="R4" i="6"/>
  <c r="S4" i="6" s="1"/>
  <c r="R11" i="6"/>
  <c r="S11" i="6" s="1"/>
  <c r="AG5" i="6"/>
  <c r="AG8" i="6"/>
  <c r="C5" i="5"/>
  <c r="E5" i="5"/>
  <c r="C6" i="5"/>
  <c r="E6" i="5"/>
  <c r="C7" i="5"/>
  <c r="E7" i="5"/>
  <c r="F7" i="5" s="1"/>
  <c r="C8" i="5"/>
  <c r="E8" i="5"/>
  <c r="F8" i="5"/>
  <c r="C9" i="5"/>
  <c r="E9" i="5"/>
  <c r="F9" i="5"/>
  <c r="C10" i="5"/>
  <c r="E10" i="5"/>
  <c r="F10" i="5" s="1"/>
  <c r="C11" i="5"/>
  <c r="E11" i="5"/>
  <c r="F11" i="5" s="1"/>
  <c r="C12" i="5"/>
  <c r="E12" i="5"/>
  <c r="F12" i="5"/>
  <c r="C13" i="5"/>
  <c r="E13" i="5"/>
  <c r="F13" i="5"/>
  <c r="C14" i="5"/>
  <c r="E14" i="5"/>
  <c r="F14" i="5" s="1"/>
  <c r="C15" i="5"/>
  <c r="E15" i="5"/>
  <c r="T48" i="6" l="1"/>
  <c r="T47" i="6"/>
  <c r="Z41" i="6"/>
  <c r="T44" i="6"/>
  <c r="Y41" i="6"/>
  <c r="R5" i="6"/>
  <c r="S5" i="6" s="1"/>
  <c r="S3" i="6"/>
  <c r="T11" i="6"/>
  <c r="T10" i="6"/>
  <c r="R10" i="6"/>
  <c r="S10" i="6" s="1"/>
  <c r="R8" i="6"/>
  <c r="S8" i="6" s="1"/>
  <c r="T4" i="6"/>
  <c r="T3" i="6"/>
  <c r="T6" i="6"/>
  <c r="F16" i="5"/>
  <c r="W9" i="1"/>
  <c r="AM13" i="1"/>
  <c r="AC13" i="1" s="1"/>
  <c r="AL13" i="1"/>
  <c r="AE13" i="1"/>
  <c r="AB13" i="1"/>
  <c r="AG13" i="1" s="1"/>
  <c r="E13" i="1"/>
  <c r="AL12" i="1"/>
  <c r="AM12" i="1" s="1"/>
  <c r="AC12" i="1" s="1"/>
  <c r="AE12" i="1"/>
  <c r="AB12" i="1"/>
  <c r="E12" i="1"/>
  <c r="AL10" i="1"/>
  <c r="AM10" i="1" s="1"/>
  <c r="AC10" i="1" s="1"/>
  <c r="AE10" i="1"/>
  <c r="AB10" i="1"/>
  <c r="E10" i="1"/>
  <c r="X33" i="1"/>
  <c r="W33" i="1"/>
  <c r="X42" i="1"/>
  <c r="W42" i="1"/>
  <c r="Y3" i="6" l="1"/>
  <c r="Z3" i="6"/>
  <c r="T8" i="6"/>
  <c r="T5" i="6"/>
  <c r="AG10" i="1"/>
  <c r="R10" i="1" s="1"/>
  <c r="T10" i="1" s="1"/>
  <c r="R13" i="1"/>
  <c r="S13" i="1" s="1"/>
  <c r="AG12" i="1"/>
  <c r="AL17" i="1"/>
  <c r="AM17" i="1"/>
  <c r="AC17" i="1" s="1"/>
  <c r="AL18" i="1"/>
  <c r="AM18" i="1"/>
  <c r="AC18" i="1" s="1"/>
  <c r="AL16" i="1"/>
  <c r="AM16" i="1"/>
  <c r="AC16" i="1" s="1"/>
  <c r="AL15" i="1"/>
  <c r="AM15" i="1" s="1"/>
  <c r="AC15" i="1" s="1"/>
  <c r="AL14" i="1"/>
  <c r="AM14" i="1" s="1"/>
  <c r="AC14" i="1" s="1"/>
  <c r="AL11" i="1"/>
  <c r="AM11" i="1" s="1"/>
  <c r="AC11" i="1" s="1"/>
  <c r="AL9" i="1"/>
  <c r="AM9" i="1" s="1"/>
  <c r="AC9" i="1" s="1"/>
  <c r="AD44" i="1"/>
  <c r="AD42" i="1"/>
  <c r="AE4" i="1"/>
  <c r="AE5" i="1"/>
  <c r="AE6" i="1"/>
  <c r="AE7" i="1"/>
  <c r="AE8" i="1"/>
  <c r="AE9" i="1"/>
  <c r="AE11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3" i="1"/>
  <c r="AD20" i="1"/>
  <c r="AD43" i="1"/>
  <c r="AL5" i="1"/>
  <c r="AM5" i="1" s="1"/>
  <c r="AC5" i="1" s="1"/>
  <c r="AL42" i="1"/>
  <c r="AM42" i="1" s="1"/>
  <c r="AC42" i="1" s="1"/>
  <c r="AL43" i="1"/>
  <c r="AM43" i="1" s="1"/>
  <c r="AC43" i="1" s="1"/>
  <c r="AL44" i="1"/>
  <c r="AM44" i="1" s="1"/>
  <c r="AC44" i="1" s="1"/>
  <c r="D16" i="4"/>
  <c r="T13" i="1" l="1"/>
  <c r="R12" i="1"/>
  <c r="S12" i="1" s="1"/>
  <c r="S10" i="1"/>
  <c r="M17" i="3"/>
  <c r="M12" i="3"/>
  <c r="M3" i="3"/>
  <c r="M7" i="3"/>
  <c r="L25" i="3"/>
  <c r="Y4" i="3"/>
  <c r="L4" i="3" s="1"/>
  <c r="Y5" i="3"/>
  <c r="L5" i="3" s="1"/>
  <c r="Y6" i="3"/>
  <c r="L6" i="3" s="1"/>
  <c r="Y7" i="3"/>
  <c r="L7" i="3" s="1"/>
  <c r="Y8" i="3"/>
  <c r="L8" i="3" s="1"/>
  <c r="Y12" i="3"/>
  <c r="L12" i="3" s="1"/>
  <c r="Y13" i="3"/>
  <c r="L13" i="3" s="1"/>
  <c r="Y14" i="3"/>
  <c r="Y15" i="3"/>
  <c r="Y16" i="3"/>
  <c r="L16" i="3" s="1"/>
  <c r="Y17" i="3"/>
  <c r="L17" i="3" s="1"/>
  <c r="Y18" i="3"/>
  <c r="L18" i="3" s="1"/>
  <c r="Y19" i="3"/>
  <c r="L19" i="3" s="1"/>
  <c r="Y20" i="3"/>
  <c r="L20" i="3" s="1"/>
  <c r="Y23" i="3"/>
  <c r="L23" i="3" s="1"/>
  <c r="Y24" i="3"/>
  <c r="L24" i="3" s="1"/>
  <c r="Y25" i="3"/>
  <c r="Y26" i="3"/>
  <c r="L26" i="3" s="1"/>
  <c r="Y3" i="3"/>
  <c r="L3" i="3" s="1"/>
  <c r="AB4" i="1"/>
  <c r="AB5" i="1"/>
  <c r="AG5" i="1" s="1"/>
  <c r="AB6" i="1"/>
  <c r="AB7" i="1"/>
  <c r="AB8" i="1"/>
  <c r="AB9" i="1"/>
  <c r="AG9" i="1" s="1"/>
  <c r="AB11" i="1"/>
  <c r="AG11" i="1" s="1"/>
  <c r="AB14" i="1"/>
  <c r="AG14" i="1" s="1"/>
  <c r="AB15" i="1"/>
  <c r="AG15" i="1" s="1"/>
  <c r="AB16" i="1"/>
  <c r="AG16" i="1" s="1"/>
  <c r="AB17" i="1"/>
  <c r="AG17" i="1" s="1"/>
  <c r="AB18" i="1"/>
  <c r="AG18" i="1" s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G42" i="1" s="1"/>
  <c r="AB43" i="1"/>
  <c r="AG43" i="1" s="1"/>
  <c r="AB44" i="1"/>
  <c r="AG44" i="1" s="1"/>
  <c r="AB45" i="1"/>
  <c r="AB3" i="1"/>
  <c r="AA6" i="3"/>
  <c r="AA4" i="3"/>
  <c r="AA7" i="3" s="1"/>
  <c r="AA3" i="3"/>
  <c r="AJ26" i="3"/>
  <c r="D26" i="3"/>
  <c r="AJ25" i="3"/>
  <c r="D25" i="3"/>
  <c r="AJ24" i="3"/>
  <c r="D24" i="3"/>
  <c r="AJ23" i="3"/>
  <c r="S23" i="3"/>
  <c r="R23" i="3"/>
  <c r="D23" i="3"/>
  <c r="D20" i="3"/>
  <c r="D19" i="3"/>
  <c r="D18" i="3"/>
  <c r="D17" i="3"/>
  <c r="D16" i="3"/>
  <c r="D13" i="3"/>
  <c r="S12" i="3"/>
  <c r="R12" i="3"/>
  <c r="AA16" i="3" s="1"/>
  <c r="AB16" i="3" s="1"/>
  <c r="D12" i="3"/>
  <c r="AJ8" i="3"/>
  <c r="D8" i="3"/>
  <c r="AJ7" i="3"/>
  <c r="D7" i="3"/>
  <c r="AJ6" i="3"/>
  <c r="D6" i="3"/>
  <c r="D5" i="3"/>
  <c r="AJ4" i="3"/>
  <c r="D4" i="3"/>
  <c r="AJ3" i="3"/>
  <c r="S3" i="3"/>
  <c r="R3" i="3"/>
  <c r="D3" i="3"/>
  <c r="T12" i="1" l="1"/>
  <c r="R42" i="1"/>
  <c r="R15" i="1"/>
  <c r="T15" i="1" s="1"/>
  <c r="R44" i="1"/>
  <c r="T44" i="1" s="1"/>
  <c r="R18" i="1"/>
  <c r="T18" i="1" s="1"/>
  <c r="R14" i="1"/>
  <c r="S14" i="1" s="1"/>
  <c r="R43" i="1"/>
  <c r="T43" i="1" s="1"/>
  <c r="R17" i="1"/>
  <c r="T17" i="1" s="1"/>
  <c r="R11" i="1"/>
  <c r="T11" i="1" s="1"/>
  <c r="R16" i="1"/>
  <c r="T16" i="1" s="1"/>
  <c r="R9" i="1"/>
  <c r="T9" i="1" s="1"/>
  <c r="R5" i="1"/>
  <c r="T5" i="1" s="1"/>
  <c r="AA8" i="3"/>
  <c r="AB8" i="3"/>
  <c r="AB9" i="3" s="1"/>
  <c r="AA13" i="3"/>
  <c r="AB13" i="3" s="1"/>
  <c r="AA12" i="3"/>
  <c r="AB12" i="3" s="1"/>
  <c r="X3" i="1"/>
  <c r="W3" i="1"/>
  <c r="X9" i="1"/>
  <c r="X19" i="1"/>
  <c r="W19" i="1"/>
  <c r="X21" i="1"/>
  <c r="W21" i="1"/>
  <c r="X24" i="1"/>
  <c r="W24" i="1"/>
  <c r="X38" i="1"/>
  <c r="W38" i="1"/>
  <c r="E5" i="1"/>
  <c r="AL41" i="1"/>
  <c r="AM41" i="1" s="1"/>
  <c r="AC41" i="1" s="1"/>
  <c r="AG41" i="1" s="1"/>
  <c r="AL40" i="1"/>
  <c r="AM40" i="1" s="1"/>
  <c r="AC40" i="1" s="1"/>
  <c r="AG40" i="1" s="1"/>
  <c r="AL39" i="1"/>
  <c r="AM39" i="1" s="1"/>
  <c r="AC39" i="1" s="1"/>
  <c r="AG39" i="1" s="1"/>
  <c r="AL38" i="1"/>
  <c r="AM38" i="1" s="1"/>
  <c r="AC38" i="1" s="1"/>
  <c r="AG38" i="1" s="1"/>
  <c r="AL33" i="1"/>
  <c r="AM33" i="1" s="1"/>
  <c r="AC33" i="1" s="1"/>
  <c r="AG33" i="1" s="1"/>
  <c r="AL34" i="1"/>
  <c r="AM34" i="1" s="1"/>
  <c r="AC34" i="1" s="1"/>
  <c r="AG34" i="1" s="1"/>
  <c r="AL35" i="1"/>
  <c r="AM35" i="1" s="1"/>
  <c r="AC35" i="1" s="1"/>
  <c r="AG35" i="1" s="1"/>
  <c r="AL36" i="1"/>
  <c r="AM36" i="1" s="1"/>
  <c r="AC36" i="1" s="1"/>
  <c r="AG36" i="1" s="1"/>
  <c r="AL37" i="1"/>
  <c r="AM37" i="1" s="1"/>
  <c r="AC37" i="1" s="1"/>
  <c r="AG37" i="1" s="1"/>
  <c r="E44" i="1"/>
  <c r="E43" i="1"/>
  <c r="E42" i="1"/>
  <c r="E41" i="1"/>
  <c r="E40" i="1"/>
  <c r="E39" i="1"/>
  <c r="E33" i="1"/>
  <c r="T42" i="1" l="1"/>
  <c r="Z42" i="1"/>
  <c r="S18" i="1"/>
  <c r="S17" i="1"/>
  <c r="S5" i="1"/>
  <c r="S16" i="1"/>
  <c r="S15" i="1"/>
  <c r="S43" i="1"/>
  <c r="S42" i="1"/>
  <c r="Y42" i="1" s="1"/>
  <c r="R34" i="1"/>
  <c r="S34" i="1" s="1"/>
  <c r="R37" i="1"/>
  <c r="S37" i="1" s="1"/>
  <c r="R38" i="1"/>
  <c r="R35" i="1"/>
  <c r="S35" i="1" s="1"/>
  <c r="R39" i="1"/>
  <c r="S39" i="1" s="1"/>
  <c r="R40" i="1"/>
  <c r="S40" i="1" s="1"/>
  <c r="R33" i="1"/>
  <c r="R41" i="1"/>
  <c r="S41" i="1" s="1"/>
  <c r="Z9" i="1"/>
  <c r="S44" i="1"/>
  <c r="R36" i="1"/>
  <c r="S36" i="1" s="1"/>
  <c r="T14" i="1"/>
  <c r="S9" i="1"/>
  <c r="S11" i="1"/>
  <c r="E35" i="1"/>
  <c r="E37" i="1"/>
  <c r="E36" i="1"/>
  <c r="E34" i="1"/>
  <c r="AL32" i="1"/>
  <c r="AM32" i="1" s="1"/>
  <c r="AC32" i="1" s="1"/>
  <c r="AG32" i="1" s="1"/>
  <c r="AL31" i="1"/>
  <c r="AM31" i="1" s="1"/>
  <c r="AC31" i="1" s="1"/>
  <c r="AG31" i="1" s="1"/>
  <c r="AL30" i="1"/>
  <c r="AM30" i="1" s="1"/>
  <c r="AC30" i="1" s="1"/>
  <c r="AG30" i="1" s="1"/>
  <c r="AL29" i="1"/>
  <c r="AM29" i="1" s="1"/>
  <c r="AC29" i="1" s="1"/>
  <c r="AG29" i="1" s="1"/>
  <c r="AL28" i="1"/>
  <c r="AM28" i="1" s="1"/>
  <c r="AC28" i="1" s="1"/>
  <c r="AG28" i="1" s="1"/>
  <c r="AL27" i="1"/>
  <c r="AM27" i="1" s="1"/>
  <c r="AC27" i="1" s="1"/>
  <c r="AG27" i="1" s="1"/>
  <c r="AL26" i="1"/>
  <c r="AM26" i="1" s="1"/>
  <c r="AC26" i="1" s="1"/>
  <c r="AG26" i="1" s="1"/>
  <c r="AL25" i="1"/>
  <c r="AM25" i="1" s="1"/>
  <c r="AC25" i="1" s="1"/>
  <c r="AG25" i="1" s="1"/>
  <c r="AL24" i="1"/>
  <c r="AM24" i="1" s="1"/>
  <c r="AC24" i="1" s="1"/>
  <c r="AG24" i="1" s="1"/>
  <c r="E29" i="1"/>
  <c r="S33" i="1" l="1"/>
  <c r="Y33" i="1" s="1"/>
  <c r="Z33" i="1"/>
  <c r="T40" i="1"/>
  <c r="T35" i="1"/>
  <c r="Y9" i="1"/>
  <c r="R26" i="1"/>
  <c r="S26" i="1" s="1"/>
  <c r="S38" i="1"/>
  <c r="Y38" i="1" s="1"/>
  <c r="Z38" i="1"/>
  <c r="R27" i="1"/>
  <c r="S27" i="1" s="1"/>
  <c r="R31" i="1"/>
  <c r="S31" i="1" s="1"/>
  <c r="T33" i="1"/>
  <c r="T39" i="1"/>
  <c r="T38" i="1"/>
  <c r="T34" i="1"/>
  <c r="R30" i="1"/>
  <c r="S30" i="1" s="1"/>
  <c r="R24" i="1"/>
  <c r="T24" i="1" s="1"/>
  <c r="R28" i="1"/>
  <c r="S28" i="1" s="1"/>
  <c r="R32" i="1"/>
  <c r="S32" i="1" s="1"/>
  <c r="R25" i="1"/>
  <c r="S25" i="1" s="1"/>
  <c r="R29" i="1"/>
  <c r="S29" i="1" s="1"/>
  <c r="T36" i="1"/>
  <c r="T41" i="1"/>
  <c r="T37" i="1"/>
  <c r="E31" i="1"/>
  <c r="E32" i="1"/>
  <c r="E30" i="1"/>
  <c r="E28" i="1"/>
  <c r="E27" i="1"/>
  <c r="E26" i="1"/>
  <c r="E25" i="1"/>
  <c r="AL21" i="1"/>
  <c r="AM21" i="1" s="1"/>
  <c r="AC21" i="1" s="1"/>
  <c r="AG21" i="1" s="1"/>
  <c r="AL22" i="1"/>
  <c r="AM22" i="1" s="1"/>
  <c r="AC22" i="1" s="1"/>
  <c r="AG22" i="1" s="1"/>
  <c r="AL23" i="1"/>
  <c r="AM23" i="1" s="1"/>
  <c r="AC23" i="1" s="1"/>
  <c r="AG23" i="1" s="1"/>
  <c r="E23" i="1"/>
  <c r="E22" i="1"/>
  <c r="AL20" i="1"/>
  <c r="AM20" i="1" s="1"/>
  <c r="AC20" i="1" s="1"/>
  <c r="AG20" i="1" s="1"/>
  <c r="AL19" i="1"/>
  <c r="AM19" i="1" s="1"/>
  <c r="AC19" i="1" s="1"/>
  <c r="E20" i="1"/>
  <c r="E18" i="1"/>
  <c r="E17" i="1"/>
  <c r="E16" i="1"/>
  <c r="E15" i="1"/>
  <c r="E14" i="1"/>
  <c r="E11" i="1"/>
  <c r="AL4" i="1"/>
  <c r="AM4" i="1" s="1"/>
  <c r="AC4" i="1" s="1"/>
  <c r="AG4" i="1" s="1"/>
  <c r="AL6" i="1"/>
  <c r="AM6" i="1" s="1"/>
  <c r="AC6" i="1" s="1"/>
  <c r="AG6" i="1" s="1"/>
  <c r="AL7" i="1"/>
  <c r="AM7" i="1" s="1"/>
  <c r="AC7" i="1" s="1"/>
  <c r="AG7" i="1" s="1"/>
  <c r="AL8" i="1"/>
  <c r="AM8" i="1" s="1"/>
  <c r="AC8" i="1" s="1"/>
  <c r="AG8" i="1" s="1"/>
  <c r="AL3" i="1"/>
  <c r="AM3" i="1" s="1"/>
  <c r="AC3" i="1" s="1"/>
  <c r="AG3" i="1" s="1"/>
  <c r="T32" i="1" l="1"/>
  <c r="T28" i="1"/>
  <c r="R8" i="1"/>
  <c r="S8" i="1" s="1"/>
  <c r="T8" i="1"/>
  <c r="R20" i="1"/>
  <c r="S20" i="1" s="1"/>
  <c r="R22" i="1"/>
  <c r="S22" i="1" s="1"/>
  <c r="R7" i="1"/>
  <c r="S7" i="1" s="1"/>
  <c r="R21" i="1"/>
  <c r="T21" i="1" s="1"/>
  <c r="T29" i="1"/>
  <c r="Z24" i="1"/>
  <c r="S24" i="1"/>
  <c r="Y24" i="1" s="1"/>
  <c r="T31" i="1"/>
  <c r="R6" i="1"/>
  <c r="S6" i="1" s="1"/>
  <c r="R3" i="1"/>
  <c r="R4" i="1"/>
  <c r="S4" i="1" s="1"/>
  <c r="R23" i="1"/>
  <c r="S23" i="1" s="1"/>
  <c r="T25" i="1"/>
  <c r="T30" i="1"/>
  <c r="T27" i="1"/>
  <c r="T26" i="1"/>
  <c r="E4" i="1"/>
  <c r="E6" i="1"/>
  <c r="E7" i="1"/>
  <c r="E8" i="1"/>
  <c r="E9" i="1"/>
  <c r="E19" i="1"/>
  <c r="E21" i="1"/>
  <c r="E24" i="1"/>
  <c r="E38" i="1"/>
  <c r="E3" i="1"/>
  <c r="T4" i="1" l="1"/>
  <c r="T23" i="1"/>
  <c r="T6" i="1"/>
  <c r="T7" i="1"/>
  <c r="T20" i="1"/>
  <c r="S3" i="1"/>
  <c r="Y3" i="1" s="1"/>
  <c r="Z3" i="1"/>
  <c r="T3" i="1"/>
  <c r="S21" i="1"/>
  <c r="Y21" i="1" s="1"/>
  <c r="Z21" i="1"/>
  <c r="T22" i="1"/>
  <c r="AG19" i="1" l="1"/>
  <c r="R19" i="1"/>
  <c r="Z19" i="1" s="1"/>
  <c r="T19" i="1" l="1"/>
  <c r="S19" i="1"/>
  <c r="Y19" i="1" s="1"/>
</calcChain>
</file>

<file path=xl/sharedStrings.xml><?xml version="1.0" encoding="utf-8"?>
<sst xmlns="http://schemas.openxmlformats.org/spreadsheetml/2006/main" count="924" uniqueCount="208">
  <si>
    <t>Foil</t>
  </si>
  <si>
    <t>lebow delta</t>
  </si>
  <si>
    <t>mounting</t>
  </si>
  <si>
    <t>magnification</t>
  </si>
  <si>
    <t>foil position</t>
  </si>
  <si>
    <t>angle</t>
  </si>
  <si>
    <t>pixels/nm</t>
  </si>
  <si>
    <t>foil letter</t>
  </si>
  <si>
    <t>B</t>
  </si>
  <si>
    <t>C</t>
  </si>
  <si>
    <t>A</t>
  </si>
  <si>
    <t>Lebow  (nm)</t>
  </si>
  <si>
    <t>aerodag</t>
  </si>
  <si>
    <t>static</t>
  </si>
  <si>
    <t>m01</t>
  </si>
  <si>
    <t>center</t>
  </si>
  <si>
    <t>spot1</t>
  </si>
  <si>
    <t>0deg</t>
  </si>
  <si>
    <t>image pos</t>
  </si>
  <si>
    <t>measurement #</t>
  </si>
  <si>
    <t>m02</t>
  </si>
  <si>
    <t>40k</t>
  </si>
  <si>
    <t xml:space="preserve">center </t>
  </si>
  <si>
    <t>spot 2</t>
  </si>
  <si>
    <t>neg2</t>
  </si>
  <si>
    <t>m9</t>
  </si>
  <si>
    <t>neg 4</t>
  </si>
  <si>
    <t>m08</t>
  </si>
  <si>
    <t>spot 1</t>
  </si>
  <si>
    <t>neg 1.5</t>
  </si>
  <si>
    <t>m07</t>
  </si>
  <si>
    <t>analysis</t>
  </si>
  <si>
    <t>sd</t>
  </si>
  <si>
    <t>min</t>
  </si>
  <si>
    <t>max</t>
  </si>
  <si>
    <t>analysis lines</t>
  </si>
  <si>
    <t>pixels</t>
  </si>
  <si>
    <t>distance</t>
  </si>
  <si>
    <t>0 deg</t>
  </si>
  <si>
    <t>50k</t>
  </si>
  <si>
    <t>neg 1.7</t>
  </si>
  <si>
    <t>2.5 deg</t>
  </si>
  <si>
    <t>m03</t>
  </si>
  <si>
    <t>m04</t>
  </si>
  <si>
    <t>edge</t>
  </si>
  <si>
    <t>spot 3</t>
  </si>
  <si>
    <t>spot 4</t>
  </si>
  <si>
    <t>m05</t>
  </si>
  <si>
    <t>comments</t>
  </si>
  <si>
    <t>mean (nm)</t>
  </si>
  <si>
    <t>m06</t>
  </si>
  <si>
    <t>m06B</t>
  </si>
  <si>
    <t>m07_B</t>
  </si>
  <si>
    <t>m01B</t>
  </si>
  <si>
    <t>m02B</t>
  </si>
  <si>
    <t>flaky crud on top - clear edges for meas</t>
  </si>
  <si>
    <t>beautiful</t>
  </si>
  <si>
    <t>flaky on top, short area with edges visible</t>
  </si>
  <si>
    <t>beautiful, clear, good edges visible</t>
  </si>
  <si>
    <t>15 kV</t>
  </si>
  <si>
    <t>good, minor tilt to image, clear edges on much of image</t>
  </si>
  <si>
    <t>scale bar length</t>
  </si>
  <si>
    <t>15kV</t>
  </si>
  <si>
    <t>1 um</t>
  </si>
  <si>
    <t>nice edges clear</t>
  </si>
  <si>
    <t>FESEM voltage</t>
  </si>
  <si>
    <t>50.0k</t>
  </si>
  <si>
    <t>1um</t>
  </si>
  <si>
    <t>10.1 mm</t>
  </si>
  <si>
    <t>12.0mm</t>
  </si>
  <si>
    <t>40.0k</t>
  </si>
  <si>
    <t>12.0 mm</t>
  </si>
  <si>
    <t>10.8mm</t>
  </si>
  <si>
    <t>working dist</t>
  </si>
  <si>
    <t>10.0k</t>
  </si>
  <si>
    <t>5 um</t>
  </si>
  <si>
    <t>20.0k</t>
  </si>
  <si>
    <t>2um</t>
  </si>
  <si>
    <t>15.0kV</t>
  </si>
  <si>
    <t>15.0 kV</t>
  </si>
  <si>
    <t>10.8 mm</t>
  </si>
  <si>
    <t>9.8mm</t>
  </si>
  <si>
    <t>10.3 mm</t>
  </si>
  <si>
    <t>10.3mm</t>
  </si>
  <si>
    <t>10.2mm</t>
  </si>
  <si>
    <t>11.2mm</t>
  </si>
  <si>
    <t>11.8mm</t>
  </si>
  <si>
    <t>12.1mm</t>
  </si>
  <si>
    <t>edge contrast</t>
  </si>
  <si>
    <t>regular</t>
  </si>
  <si>
    <t>regular image</t>
  </si>
  <si>
    <t>m03(edge)</t>
  </si>
  <si>
    <t>m05(orig image)</t>
  </si>
  <si>
    <t>m05b(edge find</t>
  </si>
  <si>
    <t>m06(regular)</t>
  </si>
  <si>
    <t>m06b(edge)</t>
  </si>
  <si>
    <t>100k</t>
  </si>
  <si>
    <t>11.4mm</t>
  </si>
  <si>
    <t>150k</t>
  </si>
  <si>
    <t>300nm</t>
  </si>
  <si>
    <t>static?</t>
  </si>
  <si>
    <t>m06b</t>
  </si>
  <si>
    <t>13.6mm</t>
  </si>
  <si>
    <t>clear edges, pixilated, even line spacing</t>
  </si>
  <si>
    <t>clear edges, pixilated, lines spaced by eye</t>
  </si>
  <si>
    <t>0.7 deg</t>
  </si>
  <si>
    <t>0.4 deg</t>
  </si>
  <si>
    <t>lots of granularity on edge - looks like puffy clouds - can see edge</t>
  </si>
  <si>
    <t>clear edge, lumpy surface</t>
  </si>
  <si>
    <t>choppy texture on bottom side of image</t>
  </si>
  <si>
    <t xml:space="preserve">"good" data </t>
  </si>
  <si>
    <t>edge contrast sharp, very tilted</t>
  </si>
  <si>
    <t>average acceptable</t>
  </si>
  <si>
    <t>stdev acceptable</t>
  </si>
  <si>
    <t>1*</t>
  </si>
  <si>
    <t>reproducibility error</t>
  </si>
  <si>
    <t>averaged 0 deg spot 1</t>
  </si>
  <si>
    <t>predicted for the tilt from average</t>
  </si>
  <si>
    <t>predicted error for misalignment due to tilt</t>
  </si>
  <si>
    <t>% error from tilting</t>
  </si>
  <si>
    <t>about 0.2%</t>
  </si>
  <si>
    <t>% diff from expected</t>
  </si>
  <si>
    <t>spot to spot difference</t>
  </si>
  <si>
    <t>angle corrected data</t>
  </si>
  <si>
    <t>angle (rad)</t>
  </si>
  <si>
    <t>x*w</t>
  </si>
  <si>
    <t>sd^2*w^2</t>
  </si>
  <si>
    <t>st dev (sigma)</t>
  </si>
  <si>
    <t>weight factor (w=1/sigma^2)</t>
  </si>
  <si>
    <t>5 micron</t>
  </si>
  <si>
    <t xml:space="preserve">pixel imaging </t>
  </si>
  <si>
    <t>per magnification</t>
  </si>
  <si>
    <t>500 pixels</t>
  </si>
  <si>
    <t>5000 nm</t>
  </si>
  <si>
    <t>nonuniformity of foil</t>
  </si>
  <si>
    <t>center and edge</t>
  </si>
  <si>
    <t>calibration of instrument</t>
  </si>
  <si>
    <t xml:space="preserve">clarity of edges </t>
  </si>
  <si>
    <t>repeatability</t>
  </si>
  <si>
    <t>tilt alignment</t>
  </si>
  <si>
    <t>statistical</t>
  </si>
  <si>
    <t>improves edge finding</t>
  </si>
  <si>
    <t>what does the image mean error</t>
  </si>
  <si>
    <t>lebow spec uniformity unit = make sure to get that in the same numbers</t>
  </si>
  <si>
    <r>
      <t>THICKNESS TOLERANCES</t>
    </r>
    <r>
      <rPr>
        <sz val="12"/>
        <color theme="1"/>
        <rFont val="Arial"/>
        <family val="2"/>
      </rPr>
      <t xml:space="preserve"> ±10% standard; closer tolerances are available upon request. We can supply exact lot or individual foil measurement of the mechanical thickness, weight/unit area or the apparent thickness by alpha energy loss as required for a nominal fee. </t>
    </r>
  </si>
  <si>
    <t>Typical maximum surface non-uniformity is 1%/cm.</t>
  </si>
  <si>
    <t>from lebow website</t>
  </si>
  <si>
    <t>1 percent</t>
  </si>
  <si>
    <t>cm</t>
  </si>
  <si>
    <t>percent</t>
  </si>
  <si>
    <t>nm/pixels</t>
  </si>
  <si>
    <t>4 pixel error</t>
  </si>
  <si>
    <t>tilt errors (nm)</t>
  </si>
  <si>
    <t>stdev meas</t>
  </si>
  <si>
    <t>scale bar length (um)</t>
  </si>
  <si>
    <t>micron</t>
  </si>
  <si>
    <t>3*scale (um)*thickness</t>
  </si>
  <si>
    <t>lebow nonuniformity expectation (nm)</t>
  </si>
  <si>
    <t>total error</t>
  </si>
  <si>
    <t xml:space="preserve">weighted </t>
  </si>
  <si>
    <t>average</t>
  </si>
  <si>
    <t xml:space="preserve">error of </t>
  </si>
  <si>
    <t>the weighted mean</t>
  </si>
  <si>
    <t>stat</t>
  </si>
  <si>
    <t>syst</t>
  </si>
  <si>
    <t>orig image</t>
  </si>
  <si>
    <t>nice - some slope in edge from tear - edge find on</t>
  </si>
  <si>
    <t>edge less clear than in m01, orig image</t>
  </si>
  <si>
    <t>zoomed in - very clear edges, some blur behind</t>
  </si>
  <si>
    <t>crisp image, no evident tilt, orig image</t>
  </si>
  <si>
    <t>clear, crisp, orig image</t>
  </si>
  <si>
    <t xml:space="preserve">clear image, edge find used - </t>
  </si>
  <si>
    <t>redo with no edge find</t>
  </si>
  <si>
    <t>clear image, edge find on (try with it off again)</t>
  </si>
  <si>
    <t>edge find on - try again with off</t>
  </si>
  <si>
    <t>beautiful image, clear edges (edge find on)</t>
  </si>
  <si>
    <t>1: edge find on</t>
  </si>
  <si>
    <t>0: orig image</t>
  </si>
  <si>
    <t>beautiful image - clear, crisp edges, orig image</t>
  </si>
  <si>
    <t>lots of z axis slope along edge - ragged tear - perhaps discount (spot 3)</t>
  </si>
  <si>
    <t>ok image - some bumpyness along bottom</t>
  </si>
  <si>
    <t>redo without edge find</t>
  </si>
  <si>
    <t xml:space="preserve">redo with tilt correction = </t>
  </si>
  <si>
    <t>best image - no rotation</t>
  </si>
  <si>
    <t>strongly rotated - beautiful image - some angular slope evident</t>
  </si>
  <si>
    <t>less rotation - ok image - lots of flaky stuff (areodag?)</t>
  </si>
  <si>
    <t>original image</t>
  </si>
  <si>
    <t>original image again</t>
  </si>
  <si>
    <t>Michael scaled for polarization</t>
  </si>
  <si>
    <t>Michael's Results</t>
  </si>
  <si>
    <t>stat dev</t>
  </si>
  <si>
    <t>meas thick</t>
  </si>
  <si>
    <t>square of differences</t>
  </si>
  <si>
    <t>fit</t>
  </si>
  <si>
    <t>asym</t>
  </si>
  <si>
    <t>thickness uncert</t>
  </si>
  <si>
    <t>foil thickness</t>
  </si>
  <si>
    <t>Jan 2015</t>
  </si>
  <si>
    <t>Y = Po/(1+P1*thickness)</t>
  </si>
  <si>
    <t>P1</t>
  </si>
  <si>
    <t>Po</t>
  </si>
  <si>
    <t>Bin</t>
  </si>
  <si>
    <t>More</t>
  </si>
  <si>
    <t>Frequency</t>
  </si>
  <si>
    <t>a</t>
  </si>
  <si>
    <t>b</t>
  </si>
  <si>
    <t>c</t>
  </si>
  <si>
    <t>sum of 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</si>
</sst>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;[Red]&quot;-&quot;[$$-409]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164" fontId="11" fillId="0" borderId="0"/>
  </cellStyleXfs>
  <cellXfs count="93">
    <xf numFmtId="0" fontId="0" fillId="0" borderId="0" xfId="0"/>
    <xf numFmtId="0" fontId="0" fillId="0" borderId="0" xfId="0" applyFill="1"/>
    <xf numFmtId="0" fontId="2" fillId="0" borderId="0" xfId="1" applyFill="1"/>
    <xf numFmtId="1" fontId="0" fillId="0" borderId="0" xfId="0" applyNumberFormat="1" applyFill="1"/>
    <xf numFmtId="0" fontId="0" fillId="0" borderId="0" xfId="1" applyFont="1" applyFill="1"/>
    <xf numFmtId="0" fontId="0" fillId="0" borderId="0" xfId="0" applyFont="1" applyFill="1"/>
    <xf numFmtId="1" fontId="0" fillId="0" borderId="0" xfId="0" applyNumberFormat="1" applyFont="1" applyFill="1"/>
    <xf numFmtId="1" fontId="1" fillId="0" borderId="1" xfId="0" applyNumberFormat="1" applyFont="1" applyFill="1" applyBorder="1"/>
    <xf numFmtId="1" fontId="1" fillId="0" borderId="2" xfId="0" applyNumberFormat="1" applyFont="1" applyFill="1" applyBorder="1"/>
    <xf numFmtId="1" fontId="1" fillId="0" borderId="3" xfId="0" applyNumberFormat="1" applyFont="1" applyFill="1" applyBorder="1"/>
    <xf numFmtId="1" fontId="1" fillId="0" borderId="0" xfId="0" applyNumberFormat="1" applyFont="1" applyFill="1" applyBorder="1"/>
    <xf numFmtId="1" fontId="5" fillId="2" borderId="3" xfId="0" applyNumberFormat="1" applyFont="1" applyFill="1" applyBorder="1"/>
    <xf numFmtId="1" fontId="5" fillId="2" borderId="0" xfId="0" applyNumberFormat="1" applyFont="1" applyFill="1" applyBorder="1"/>
    <xf numFmtId="0" fontId="1" fillId="0" borderId="3" xfId="0" applyFont="1" applyFill="1" applyBorder="1"/>
    <xf numFmtId="0" fontId="1" fillId="0" borderId="0" xfId="0" applyFont="1" applyFill="1" applyBorder="1"/>
    <xf numFmtId="0" fontId="1" fillId="0" borderId="3" xfId="1" applyFont="1" applyFill="1" applyBorder="1"/>
    <xf numFmtId="0" fontId="1" fillId="0" borderId="0" xfId="1" applyFont="1" applyFill="1" applyBorder="1"/>
    <xf numFmtId="0" fontId="3" fillId="0" borderId="0" xfId="1" applyFont="1" applyFill="1" applyBorder="1"/>
    <xf numFmtId="1" fontId="4" fillId="0" borderId="0" xfId="0" applyNumberFormat="1" applyFont="1" applyFill="1" applyBorder="1"/>
    <xf numFmtId="1" fontId="5" fillId="0" borderId="0" xfId="0" applyNumberFormat="1" applyFont="1" applyFill="1" applyBorder="1"/>
    <xf numFmtId="2" fontId="1" fillId="0" borderId="2" xfId="0" applyNumberFormat="1" applyFont="1" applyFill="1" applyBorder="1"/>
    <xf numFmtId="2" fontId="1" fillId="0" borderId="0" xfId="0" applyNumberFormat="1" applyFont="1" applyFill="1" applyBorder="1"/>
    <xf numFmtId="2" fontId="1" fillId="0" borderId="0" xfId="1" applyNumberFormat="1" applyFont="1" applyFill="1" applyBorder="1"/>
    <xf numFmtId="4" fontId="1" fillId="0" borderId="1" xfId="0" applyNumberFormat="1" applyFont="1" applyFill="1" applyBorder="1"/>
    <xf numFmtId="4" fontId="1" fillId="0" borderId="3" xfId="0" applyNumberFormat="1" applyFont="1" applyFill="1" applyBorder="1"/>
    <xf numFmtId="4" fontId="5" fillId="0" borderId="3" xfId="0" applyNumberFormat="1" applyFont="1" applyFill="1" applyBorder="1"/>
    <xf numFmtId="4" fontId="1" fillId="0" borderId="3" xfId="1" applyNumberFormat="1" applyFont="1" applyFill="1" applyBorder="1"/>
    <xf numFmtId="11" fontId="1" fillId="0" borderId="2" xfId="0" applyNumberFormat="1" applyFont="1" applyFill="1" applyBorder="1"/>
    <xf numFmtId="11" fontId="1" fillId="0" borderId="0" xfId="0" applyNumberFormat="1" applyFont="1" applyFill="1" applyBorder="1"/>
    <xf numFmtId="11" fontId="1" fillId="0" borderId="0" xfId="1" applyNumberFormat="1" applyFont="1" applyFill="1" applyBorder="1"/>
    <xf numFmtId="2" fontId="4" fillId="2" borderId="0" xfId="0" applyNumberFormat="1" applyFont="1" applyFill="1" applyBorder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1" fontId="0" fillId="0" borderId="0" xfId="0" applyNumberFormat="1"/>
    <xf numFmtId="2" fontId="0" fillId="3" borderId="0" xfId="0" applyNumberFormat="1" applyFill="1"/>
    <xf numFmtId="11" fontId="0" fillId="3" borderId="0" xfId="0" applyNumberFormat="1" applyFill="1"/>
    <xf numFmtId="0" fontId="0" fillId="0" borderId="0" xfId="0" applyFill="1" applyBorder="1"/>
    <xf numFmtId="0" fontId="0" fillId="0" borderId="0" xfId="0" applyFont="1" applyFill="1" applyBorder="1"/>
    <xf numFmtId="2" fontId="0" fillId="3" borderId="0" xfId="0" applyNumberFormat="1" applyFill="1" applyBorder="1"/>
    <xf numFmtId="11" fontId="0" fillId="3" borderId="0" xfId="0" applyNumberFormat="1" applyFill="1" applyBorder="1"/>
    <xf numFmtId="0" fontId="0" fillId="0" borderId="4" xfId="0" applyFill="1" applyBorder="1"/>
    <xf numFmtId="0" fontId="0" fillId="0" borderId="4" xfId="0" applyFont="1" applyFill="1" applyBorder="1"/>
    <xf numFmtId="1" fontId="1" fillId="0" borderId="5" xfId="0" applyNumberFormat="1" applyFont="1" applyFill="1" applyBorder="1"/>
    <xf numFmtId="1" fontId="1" fillId="0" borderId="4" xfId="0" applyNumberFormat="1" applyFont="1" applyFill="1" applyBorder="1"/>
    <xf numFmtId="11" fontId="1" fillId="0" borderId="4" xfId="0" applyNumberFormat="1" applyFont="1" applyFill="1" applyBorder="1"/>
    <xf numFmtId="2" fontId="1" fillId="0" borderId="4" xfId="0" applyNumberFormat="1" applyFont="1" applyFill="1" applyBorder="1"/>
    <xf numFmtId="2" fontId="0" fillId="3" borderId="4" xfId="0" applyNumberFormat="1" applyFill="1" applyBorder="1"/>
    <xf numFmtId="11" fontId="0" fillId="3" borderId="4" xfId="0" applyNumberFormat="1" applyFill="1" applyBorder="1"/>
    <xf numFmtId="0" fontId="0" fillId="0" borderId="2" xfId="0" applyFill="1" applyBorder="1"/>
    <xf numFmtId="0" fontId="0" fillId="0" borderId="2" xfId="0" applyFont="1" applyFill="1" applyBorder="1"/>
    <xf numFmtId="2" fontId="0" fillId="3" borderId="2" xfId="0" applyNumberFormat="1" applyFill="1" applyBorder="1"/>
    <xf numFmtId="11" fontId="0" fillId="3" borderId="2" xfId="0" applyNumberFormat="1" applyFill="1" applyBorder="1"/>
    <xf numFmtId="1" fontId="0" fillId="0" borderId="4" xfId="0" applyNumberFormat="1" applyFill="1" applyBorder="1"/>
    <xf numFmtId="0" fontId="0" fillId="0" borderId="4" xfId="1" applyFont="1" applyFill="1" applyBorder="1"/>
    <xf numFmtId="0" fontId="1" fillId="0" borderId="5" xfId="0" applyFont="1" applyFill="1" applyBorder="1"/>
    <xf numFmtId="0" fontId="1" fillId="0" borderId="4" xfId="0" applyFont="1" applyFill="1" applyBorder="1"/>
    <xf numFmtId="0" fontId="2" fillId="0" borderId="4" xfId="1" applyFill="1" applyBorder="1"/>
    <xf numFmtId="0" fontId="1" fillId="0" borderId="5" xfId="1" applyFont="1" applyFill="1" applyBorder="1"/>
    <xf numFmtId="0" fontId="1" fillId="0" borderId="4" xfId="1" applyFont="1" applyFill="1" applyBorder="1"/>
    <xf numFmtId="0" fontId="0" fillId="0" borderId="2" xfId="1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0" fillId="0" borderId="0" xfId="1" applyFont="1" applyFill="1" applyBorder="1"/>
    <xf numFmtId="0" fontId="2" fillId="0" borderId="0" xfId="1" applyFill="1" applyBorder="1"/>
    <xf numFmtId="1" fontId="0" fillId="0" borderId="0" xfId="0" applyNumberFormat="1" applyFont="1" applyFill="1" applyBorder="1"/>
    <xf numFmtId="1" fontId="0" fillId="0" borderId="0" xfId="0" applyNumberFormat="1" applyFill="1" applyBorder="1"/>
    <xf numFmtId="1" fontId="0" fillId="0" borderId="4" xfId="0" applyNumberFormat="1" applyFont="1" applyFill="1" applyBorder="1"/>
    <xf numFmtId="1" fontId="0" fillId="0" borderId="2" xfId="0" applyNumberFormat="1" applyFont="1" applyFill="1" applyBorder="1"/>
    <xf numFmtId="1" fontId="0" fillId="0" borderId="2" xfId="0" applyNumberFormat="1" applyFill="1" applyBorder="1"/>
    <xf numFmtId="2" fontId="1" fillId="4" borderId="0" xfId="0" applyNumberFormat="1" applyFont="1" applyFill="1"/>
    <xf numFmtId="2" fontId="1" fillId="4" borderId="0" xfId="0" applyNumberFormat="1" applyFont="1" applyFill="1" applyBorder="1"/>
    <xf numFmtId="2" fontId="1" fillId="4" borderId="4" xfId="0" applyNumberFormat="1" applyFont="1" applyFill="1" applyBorder="1"/>
    <xf numFmtId="2" fontId="1" fillId="4" borderId="2" xfId="0" applyNumberFormat="1" applyFont="1" applyFill="1" applyBorder="1"/>
    <xf numFmtId="0" fontId="8" fillId="0" borderId="0" xfId="0" applyFont="1" applyFill="1"/>
    <xf numFmtId="1" fontId="9" fillId="0" borderId="3" xfId="0" applyNumberFormat="1" applyFont="1" applyFill="1" applyBorder="1"/>
    <xf numFmtId="1" fontId="9" fillId="0" borderId="0" xfId="0" applyNumberFormat="1" applyFont="1" applyFill="1" applyBorder="1"/>
    <xf numFmtId="11" fontId="9" fillId="0" borderId="0" xfId="0" applyNumberFormat="1" applyFont="1" applyFill="1" applyBorder="1"/>
    <xf numFmtId="2" fontId="9" fillId="0" borderId="0" xfId="0" applyNumberFormat="1" applyFont="1" applyFill="1" applyBorder="1"/>
    <xf numFmtId="2" fontId="8" fillId="3" borderId="0" xfId="0" applyNumberFormat="1" applyFont="1" applyFill="1"/>
    <xf numFmtId="11" fontId="8" fillId="3" borderId="0" xfId="0" applyNumberFormat="1" applyFont="1" applyFill="1"/>
    <xf numFmtId="2" fontId="9" fillId="4" borderId="0" xfId="0" applyNumberFormat="1" applyFont="1" applyFill="1"/>
    <xf numFmtId="0" fontId="8" fillId="0" borderId="0" xfId="0" applyFont="1" applyFill="1" applyBorder="1"/>
    <xf numFmtId="1" fontId="8" fillId="0" borderId="0" xfId="0" applyNumberFormat="1" applyFont="1" applyFill="1"/>
    <xf numFmtId="2" fontId="4" fillId="4" borderId="0" xfId="0" applyNumberFormat="1" applyFont="1" applyFill="1" applyBorder="1"/>
    <xf numFmtId="2" fontId="9" fillId="4" borderId="0" xfId="0" applyNumberFormat="1" applyFont="1" applyFill="1" applyBorder="1"/>
    <xf numFmtId="0" fontId="2" fillId="0" borderId="0" xfId="1"/>
    <xf numFmtId="49" fontId="2" fillId="0" borderId="0" xfId="1" applyNumberForma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4" xfId="0" applyFill="1" applyBorder="1" applyAlignment="1"/>
    <xf numFmtId="0" fontId="8" fillId="0" borderId="6" xfId="0" applyFont="1" applyFill="1" applyBorder="1" applyAlignment="1">
      <alignment horizontal="center"/>
    </xf>
    <xf numFmtId="2" fontId="0" fillId="0" borderId="0" xfId="0" applyNumberFormat="1"/>
    <xf numFmtId="2" fontId="0" fillId="0" borderId="0" xfId="0" applyNumberFormat="1" applyFill="1" applyBorder="1" applyAlignment="1"/>
  </cellXfs>
  <cellStyles count="6">
    <cellStyle name="Heading" xfId="2"/>
    <cellStyle name="Heading1" xfId="3"/>
    <cellStyle name="Normal" xfId="0" builtinId="0"/>
    <cellStyle name="Normal 2" xfId="1"/>
    <cellStyle name="Result" xfId="4"/>
    <cellStyle name="Result2" xfId="5"/>
  </cellStyles>
  <dxfs count="13"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99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Measured vs. Lebow</a:t>
            </a:r>
            <a:r>
              <a:rPr lang="en-US" baseline="0"/>
              <a:t> thicknesses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all decent data</c:v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summary!$AG$3:$AG$44</c:f>
                <c:numCache>
                  <c:formatCode>General</c:formatCode>
                  <c:ptCount val="42"/>
                  <c:pt idx="0">
                    <c:v>46.198662192247347</c:v>
                  </c:pt>
                  <c:pt idx="1">
                    <c:v>46.40392703931181</c:v>
                  </c:pt>
                  <c:pt idx="2">
                    <c:v>30.878194399286663</c:v>
                  </c:pt>
                  <c:pt idx="3">
                    <c:v>25.60363806161007</c:v>
                  </c:pt>
                  <c:pt idx="4">
                    <c:v>25.610694888672473</c:v>
                  </c:pt>
                  <c:pt idx="5">
                    <c:v>25.604884106726203</c:v>
                  </c:pt>
                  <c:pt idx="6">
                    <c:v>42.45504053354469</c:v>
                  </c:pt>
                  <c:pt idx="7">
                    <c:v>42.455287365103615</c:v>
                  </c:pt>
                  <c:pt idx="8">
                    <c:v>42.45594240464586</c:v>
                  </c:pt>
                  <c:pt idx="9">
                    <c:v>42.456057597753777</c:v>
                  </c:pt>
                  <c:pt idx="10">
                    <c:v>42.455871611636077</c:v>
                  </c:pt>
                  <c:pt idx="11">
                    <c:v>42.4301540478669</c:v>
                  </c:pt>
                  <c:pt idx="12">
                    <c:v>42.464544309793325</c:v>
                  </c:pt>
                  <c:pt idx="13">
                    <c:v>42.461933240722104</c:v>
                  </c:pt>
                  <c:pt idx="14">
                    <c:v>42.460377273867046</c:v>
                  </c:pt>
                  <c:pt idx="15">
                    <c:v>42.46126912411782</c:v>
                  </c:pt>
                  <c:pt idx="16">
                    <c:v>18.915817300813753</c:v>
                  </c:pt>
                  <c:pt idx="17">
                    <c:v>16.434142003197682</c:v>
                  </c:pt>
                  <c:pt idx="18">
                    <c:v>20.421164696792886</c:v>
                  </c:pt>
                  <c:pt idx="19">
                    <c:v>20.425204713136662</c:v>
                  </c:pt>
                  <c:pt idx="20">
                    <c:v>20.41113511262866</c:v>
                  </c:pt>
                  <c:pt idx="21">
                    <c:v>30.450030015021056</c:v>
                  </c:pt>
                  <c:pt idx="22">
                    <c:v>30.450326916653516</c:v>
                  </c:pt>
                  <c:pt idx="23">
                    <c:v>30.444664188694908</c:v>
                  </c:pt>
                  <c:pt idx="24">
                    <c:v>30.419307641073939</c:v>
                  </c:pt>
                  <c:pt idx="25">
                    <c:v>30.461360000391991</c:v>
                  </c:pt>
                  <c:pt idx="26">
                    <c:v>30.448593113848556</c:v>
                  </c:pt>
                  <c:pt idx="27">
                    <c:v>31.014057108830222</c:v>
                  </c:pt>
                  <c:pt idx="28">
                    <c:v>31.049374032602049</c:v>
                  </c:pt>
                  <c:pt idx="29">
                    <c:v>30.456238278135263</c:v>
                  </c:pt>
                  <c:pt idx="30">
                    <c:v>17.228509956341185</c:v>
                  </c:pt>
                  <c:pt idx="31">
                    <c:v>17.184610746518818</c:v>
                  </c:pt>
                  <c:pt idx="32">
                    <c:v>17.185156807820231</c:v>
                  </c:pt>
                  <c:pt idx="33">
                    <c:v>15.752955489052663</c:v>
                  </c:pt>
                  <c:pt idx="34">
                    <c:v>15.754028479361072</c:v>
                  </c:pt>
                  <c:pt idx="35">
                    <c:v>5.7397658107885547</c:v>
                  </c:pt>
                  <c:pt idx="36">
                    <c:v>5.7430952245805464</c:v>
                  </c:pt>
                  <c:pt idx="37">
                    <c:v>5.7407352163613696</c:v>
                  </c:pt>
                  <c:pt idx="38">
                    <c:v>5.7389667103569693</c:v>
                  </c:pt>
                  <c:pt idx="39">
                    <c:v>3.828521598662173</c:v>
                  </c:pt>
                  <c:pt idx="40">
                    <c:v>3.8192141833797577</c:v>
                  </c:pt>
                  <c:pt idx="41">
                    <c:v>3.4797882193802243</c:v>
                  </c:pt>
                </c:numCache>
              </c:numRef>
            </c:plus>
            <c:minus>
              <c:numRef>
                <c:f>summary!$AG$3:$AG$44</c:f>
                <c:numCache>
                  <c:formatCode>General</c:formatCode>
                  <c:ptCount val="42"/>
                  <c:pt idx="0">
                    <c:v>46.198662192247347</c:v>
                  </c:pt>
                  <c:pt idx="1">
                    <c:v>46.40392703931181</c:v>
                  </c:pt>
                  <c:pt idx="2">
                    <c:v>30.878194399286663</c:v>
                  </c:pt>
                  <c:pt idx="3">
                    <c:v>25.60363806161007</c:v>
                  </c:pt>
                  <c:pt idx="4">
                    <c:v>25.610694888672473</c:v>
                  </c:pt>
                  <c:pt idx="5">
                    <c:v>25.604884106726203</c:v>
                  </c:pt>
                  <c:pt idx="6">
                    <c:v>42.45504053354469</c:v>
                  </c:pt>
                  <c:pt idx="7">
                    <c:v>42.455287365103615</c:v>
                  </c:pt>
                  <c:pt idx="8">
                    <c:v>42.45594240464586</c:v>
                  </c:pt>
                  <c:pt idx="9">
                    <c:v>42.456057597753777</c:v>
                  </c:pt>
                  <c:pt idx="10">
                    <c:v>42.455871611636077</c:v>
                  </c:pt>
                  <c:pt idx="11">
                    <c:v>42.4301540478669</c:v>
                  </c:pt>
                  <c:pt idx="12">
                    <c:v>42.464544309793325</c:v>
                  </c:pt>
                  <c:pt idx="13">
                    <c:v>42.461933240722104</c:v>
                  </c:pt>
                  <c:pt idx="14">
                    <c:v>42.460377273867046</c:v>
                  </c:pt>
                  <c:pt idx="15">
                    <c:v>42.46126912411782</c:v>
                  </c:pt>
                  <c:pt idx="16">
                    <c:v>18.915817300813753</c:v>
                  </c:pt>
                  <c:pt idx="17">
                    <c:v>16.434142003197682</c:v>
                  </c:pt>
                  <c:pt idx="18">
                    <c:v>20.421164696792886</c:v>
                  </c:pt>
                  <c:pt idx="19">
                    <c:v>20.425204713136662</c:v>
                  </c:pt>
                  <c:pt idx="20">
                    <c:v>20.41113511262866</c:v>
                  </c:pt>
                  <c:pt idx="21">
                    <c:v>30.450030015021056</c:v>
                  </c:pt>
                  <c:pt idx="22">
                    <c:v>30.450326916653516</c:v>
                  </c:pt>
                  <c:pt idx="23">
                    <c:v>30.444664188694908</c:v>
                  </c:pt>
                  <c:pt idx="24">
                    <c:v>30.419307641073939</c:v>
                  </c:pt>
                  <c:pt idx="25">
                    <c:v>30.461360000391991</c:v>
                  </c:pt>
                  <c:pt idx="26">
                    <c:v>30.448593113848556</c:v>
                  </c:pt>
                  <c:pt idx="27">
                    <c:v>31.014057108830222</c:v>
                  </c:pt>
                  <c:pt idx="28">
                    <c:v>31.049374032602049</c:v>
                  </c:pt>
                  <c:pt idx="29">
                    <c:v>30.456238278135263</c:v>
                  </c:pt>
                  <c:pt idx="30">
                    <c:v>17.228509956341185</c:v>
                  </c:pt>
                  <c:pt idx="31">
                    <c:v>17.184610746518818</c:v>
                  </c:pt>
                  <c:pt idx="32">
                    <c:v>17.185156807820231</c:v>
                  </c:pt>
                  <c:pt idx="33">
                    <c:v>15.752955489052663</c:v>
                  </c:pt>
                  <c:pt idx="34">
                    <c:v>15.754028479361072</c:v>
                  </c:pt>
                  <c:pt idx="35">
                    <c:v>5.7397658107885547</c:v>
                  </c:pt>
                  <c:pt idx="36">
                    <c:v>5.7430952245805464</c:v>
                  </c:pt>
                  <c:pt idx="37">
                    <c:v>5.7407352163613696</c:v>
                  </c:pt>
                  <c:pt idx="38">
                    <c:v>5.7389667103569693</c:v>
                  </c:pt>
                  <c:pt idx="39">
                    <c:v>3.828521598662173</c:v>
                  </c:pt>
                  <c:pt idx="40">
                    <c:v>3.8192141833797577</c:v>
                  </c:pt>
                  <c:pt idx="41">
                    <c:v>3.4797882193802243</c:v>
                  </c:pt>
                </c:numCache>
              </c:numRef>
            </c:minus>
            <c:spPr>
              <a:ln>
                <a:solidFill>
                  <a:srgbClr val="00B0F0"/>
                </a:solidFill>
              </a:ln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summary!$E$3:$E$83</c:f>
                <c:numCache>
                  <c:formatCode>General</c:formatCode>
                  <c:ptCount val="81"/>
                  <c:pt idx="0">
                    <c:v>100</c:v>
                  </c:pt>
                  <c:pt idx="1">
                    <c:v>100</c:v>
                  </c:pt>
                  <c:pt idx="2">
                    <c:v>100</c:v>
                  </c:pt>
                  <c:pt idx="3">
                    <c:v>100</c:v>
                  </c:pt>
                  <c:pt idx="4">
                    <c:v>100</c:v>
                  </c:pt>
                  <c:pt idx="5">
                    <c:v>100</c:v>
                  </c:pt>
                  <c:pt idx="6">
                    <c:v>87</c:v>
                  </c:pt>
                  <c:pt idx="7">
                    <c:v>87</c:v>
                  </c:pt>
                  <c:pt idx="8">
                    <c:v>87</c:v>
                  </c:pt>
                  <c:pt idx="9">
                    <c:v>87</c:v>
                  </c:pt>
                  <c:pt idx="10">
                    <c:v>87</c:v>
                  </c:pt>
                  <c:pt idx="11">
                    <c:v>87</c:v>
                  </c:pt>
                  <c:pt idx="12">
                    <c:v>87</c:v>
                  </c:pt>
                  <c:pt idx="13">
                    <c:v>87</c:v>
                  </c:pt>
                  <c:pt idx="14">
                    <c:v>87</c:v>
                  </c:pt>
                  <c:pt idx="15">
                    <c:v>87</c:v>
                  </c:pt>
                  <c:pt idx="16">
                    <c:v>75</c:v>
                  </c:pt>
                  <c:pt idx="17">
                    <c:v>75</c:v>
                  </c:pt>
                  <c:pt idx="18">
                    <c:v>62.5</c:v>
                  </c:pt>
                  <c:pt idx="19">
                    <c:v>62.5</c:v>
                  </c:pt>
                  <c:pt idx="20">
                    <c:v>62.5</c:v>
                  </c:pt>
                  <c:pt idx="21">
                    <c:v>50</c:v>
                  </c:pt>
                  <c:pt idx="22">
                    <c:v>50</c:v>
                  </c:pt>
                  <c:pt idx="23">
                    <c:v>50</c:v>
                  </c:pt>
                  <c:pt idx="24">
                    <c:v>50</c:v>
                  </c:pt>
                  <c:pt idx="25">
                    <c:v>50</c:v>
                  </c:pt>
                  <c:pt idx="26">
                    <c:v>50</c:v>
                  </c:pt>
                  <c:pt idx="27">
                    <c:v>50</c:v>
                  </c:pt>
                  <c:pt idx="28">
                    <c:v>50</c:v>
                  </c:pt>
                  <c:pt idx="29">
                    <c:v>50</c:v>
                  </c:pt>
                  <c:pt idx="30">
                    <c:v>35.5</c:v>
                  </c:pt>
                  <c:pt idx="31">
                    <c:v>35.5</c:v>
                  </c:pt>
                  <c:pt idx="32">
                    <c:v>35.5</c:v>
                  </c:pt>
                  <c:pt idx="33">
                    <c:v>35.5</c:v>
                  </c:pt>
                  <c:pt idx="34">
                    <c:v>35.5</c:v>
                  </c:pt>
                  <c:pt idx="35">
                    <c:v>22.5</c:v>
                  </c:pt>
                  <c:pt idx="36">
                    <c:v>22.5</c:v>
                  </c:pt>
                  <c:pt idx="37">
                    <c:v>22.5</c:v>
                  </c:pt>
                  <c:pt idx="38">
                    <c:v>22.5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</c:numCache>
              </c:numRef>
            </c:plus>
            <c:minus>
              <c:numRef>
                <c:f>summary!$E$3:$E$83</c:f>
                <c:numCache>
                  <c:formatCode>General</c:formatCode>
                  <c:ptCount val="81"/>
                  <c:pt idx="0">
                    <c:v>100</c:v>
                  </c:pt>
                  <c:pt idx="1">
                    <c:v>100</c:v>
                  </c:pt>
                  <c:pt idx="2">
                    <c:v>100</c:v>
                  </c:pt>
                  <c:pt idx="3">
                    <c:v>100</c:v>
                  </c:pt>
                  <c:pt idx="4">
                    <c:v>100</c:v>
                  </c:pt>
                  <c:pt idx="5">
                    <c:v>100</c:v>
                  </c:pt>
                  <c:pt idx="6">
                    <c:v>87</c:v>
                  </c:pt>
                  <c:pt idx="7">
                    <c:v>87</c:v>
                  </c:pt>
                  <c:pt idx="8">
                    <c:v>87</c:v>
                  </c:pt>
                  <c:pt idx="9">
                    <c:v>87</c:v>
                  </c:pt>
                  <c:pt idx="10">
                    <c:v>87</c:v>
                  </c:pt>
                  <c:pt idx="11">
                    <c:v>87</c:v>
                  </c:pt>
                  <c:pt idx="12">
                    <c:v>87</c:v>
                  </c:pt>
                  <c:pt idx="13">
                    <c:v>87</c:v>
                  </c:pt>
                  <c:pt idx="14">
                    <c:v>87</c:v>
                  </c:pt>
                  <c:pt idx="15">
                    <c:v>87</c:v>
                  </c:pt>
                  <c:pt idx="16">
                    <c:v>75</c:v>
                  </c:pt>
                  <c:pt idx="17">
                    <c:v>75</c:v>
                  </c:pt>
                  <c:pt idx="18">
                    <c:v>62.5</c:v>
                  </c:pt>
                  <c:pt idx="19">
                    <c:v>62.5</c:v>
                  </c:pt>
                  <c:pt idx="20">
                    <c:v>62.5</c:v>
                  </c:pt>
                  <c:pt idx="21">
                    <c:v>50</c:v>
                  </c:pt>
                  <c:pt idx="22">
                    <c:v>50</c:v>
                  </c:pt>
                  <c:pt idx="23">
                    <c:v>50</c:v>
                  </c:pt>
                  <c:pt idx="24">
                    <c:v>50</c:v>
                  </c:pt>
                  <c:pt idx="25">
                    <c:v>50</c:v>
                  </c:pt>
                  <c:pt idx="26">
                    <c:v>50</c:v>
                  </c:pt>
                  <c:pt idx="27">
                    <c:v>50</c:v>
                  </c:pt>
                  <c:pt idx="28">
                    <c:v>50</c:v>
                  </c:pt>
                  <c:pt idx="29">
                    <c:v>50</c:v>
                  </c:pt>
                  <c:pt idx="30">
                    <c:v>35.5</c:v>
                  </c:pt>
                  <c:pt idx="31">
                    <c:v>35.5</c:v>
                  </c:pt>
                  <c:pt idx="32">
                    <c:v>35.5</c:v>
                  </c:pt>
                  <c:pt idx="33">
                    <c:v>35.5</c:v>
                  </c:pt>
                  <c:pt idx="34">
                    <c:v>35.5</c:v>
                  </c:pt>
                  <c:pt idx="35">
                    <c:v>22.5</c:v>
                  </c:pt>
                  <c:pt idx="36">
                    <c:v>22.5</c:v>
                  </c:pt>
                  <c:pt idx="37">
                    <c:v>22.5</c:v>
                  </c:pt>
                  <c:pt idx="38">
                    <c:v>22.5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</c:numCache>
              </c:numRef>
            </c:minus>
          </c:errBars>
          <c:xVal>
            <c:numRef>
              <c:f>summary!$D$3:$D$83</c:f>
              <c:numCache>
                <c:formatCode>General</c:formatCode>
                <c:ptCount val="81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870</c:v>
                </c:pt>
                <c:pt idx="7">
                  <c:v>870</c:v>
                </c:pt>
                <c:pt idx="8">
                  <c:v>870</c:v>
                </c:pt>
                <c:pt idx="9">
                  <c:v>870</c:v>
                </c:pt>
                <c:pt idx="10">
                  <c:v>870</c:v>
                </c:pt>
                <c:pt idx="11">
                  <c:v>870</c:v>
                </c:pt>
                <c:pt idx="12">
                  <c:v>870</c:v>
                </c:pt>
                <c:pt idx="13">
                  <c:v>870</c:v>
                </c:pt>
                <c:pt idx="14">
                  <c:v>870</c:v>
                </c:pt>
                <c:pt idx="15">
                  <c:v>870</c:v>
                </c:pt>
                <c:pt idx="16">
                  <c:v>750</c:v>
                </c:pt>
                <c:pt idx="17">
                  <c:v>750</c:v>
                </c:pt>
                <c:pt idx="18">
                  <c:v>625</c:v>
                </c:pt>
                <c:pt idx="19">
                  <c:v>625</c:v>
                </c:pt>
                <c:pt idx="20">
                  <c:v>625</c:v>
                </c:pt>
                <c:pt idx="21">
                  <c:v>500</c:v>
                </c:pt>
                <c:pt idx="22">
                  <c:v>500</c:v>
                </c:pt>
                <c:pt idx="23">
                  <c:v>500</c:v>
                </c:pt>
                <c:pt idx="24">
                  <c:v>500</c:v>
                </c:pt>
                <c:pt idx="25">
                  <c:v>500</c:v>
                </c:pt>
                <c:pt idx="26">
                  <c:v>500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355</c:v>
                </c:pt>
                <c:pt idx="31">
                  <c:v>355</c:v>
                </c:pt>
                <c:pt idx="32">
                  <c:v>355</c:v>
                </c:pt>
                <c:pt idx="33">
                  <c:v>355</c:v>
                </c:pt>
                <c:pt idx="34">
                  <c:v>355</c:v>
                </c:pt>
                <c:pt idx="35">
                  <c:v>225</c:v>
                </c:pt>
                <c:pt idx="36">
                  <c:v>225</c:v>
                </c:pt>
                <c:pt idx="37">
                  <c:v>225</c:v>
                </c:pt>
                <c:pt idx="38">
                  <c:v>225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</c:numCache>
            </c:numRef>
          </c:xVal>
          <c:yVal>
            <c:numRef>
              <c:f>summary!$P$3:$P$83</c:f>
              <c:numCache>
                <c:formatCode>0</c:formatCode>
                <c:ptCount val="81"/>
                <c:pt idx="0">
                  <c:v>971.55600000000004</c:v>
                </c:pt>
                <c:pt idx="1">
                  <c:v>928.09400000000005</c:v>
                </c:pt>
                <c:pt idx="2">
                  <c:v>916.08900000000006</c:v>
                </c:pt>
                <c:pt idx="3">
                  <c:v>968.01345454545447</c:v>
                </c:pt>
                <c:pt idx="4">
                  <c:v>941.00699999999995</c:v>
                </c:pt>
                <c:pt idx="5">
                  <c:v>966.71600000000001</c:v>
                </c:pt>
                <c:pt idx="6">
                  <c:v>749.13499999999999</c:v>
                </c:pt>
                <c:pt idx="7">
                  <c:v>752.62400000000002</c:v>
                </c:pt>
                <c:pt idx="8">
                  <c:v>808.41700000000003</c:v>
                </c:pt>
                <c:pt idx="9">
                  <c:v>809.928</c:v>
                </c:pt>
                <c:pt idx="10">
                  <c:v>807.48699999999997</c:v>
                </c:pt>
                <c:pt idx="11">
                  <c:v>861.04200000000003</c:v>
                </c:pt>
                <c:pt idx="12">
                  <c:v>876.63800000000003</c:v>
                </c:pt>
                <c:pt idx="13">
                  <c:v>844.42700000000002</c:v>
                </c:pt>
                <c:pt idx="14">
                  <c:v>824.63499999999999</c:v>
                </c:pt>
                <c:pt idx="15">
                  <c:v>836.03662068965491</c:v>
                </c:pt>
                <c:pt idx="16">
                  <c:v>782</c:v>
                </c:pt>
                <c:pt idx="17">
                  <c:v>772</c:v>
                </c:pt>
                <c:pt idx="18">
                  <c:v>539</c:v>
                </c:pt>
                <c:pt idx="19">
                  <c:v>576</c:v>
                </c:pt>
                <c:pt idx="20">
                  <c:v>552</c:v>
                </c:pt>
                <c:pt idx="21">
                  <c:v>508</c:v>
                </c:pt>
                <c:pt idx="22">
                  <c:v>430.7272727272728</c:v>
                </c:pt>
                <c:pt idx="23">
                  <c:v>465</c:v>
                </c:pt>
                <c:pt idx="24">
                  <c:v>463</c:v>
                </c:pt>
                <c:pt idx="25">
                  <c:v>534</c:v>
                </c:pt>
                <c:pt idx="26">
                  <c:v>494</c:v>
                </c:pt>
                <c:pt idx="27">
                  <c:v>477</c:v>
                </c:pt>
                <c:pt idx="28">
                  <c:v>477</c:v>
                </c:pt>
                <c:pt idx="29">
                  <c:v>489</c:v>
                </c:pt>
                <c:pt idx="30" formatCode="General">
                  <c:v>361</c:v>
                </c:pt>
                <c:pt idx="31" formatCode="General">
                  <c:v>388</c:v>
                </c:pt>
                <c:pt idx="32" formatCode="General">
                  <c:v>394</c:v>
                </c:pt>
                <c:pt idx="33" formatCode="General">
                  <c:v>391</c:v>
                </c:pt>
                <c:pt idx="34" formatCode="General">
                  <c:v>400.61</c:v>
                </c:pt>
                <c:pt idx="35" formatCode="General">
                  <c:v>211.06800000000001</c:v>
                </c:pt>
                <c:pt idx="36" formatCode="General">
                  <c:v>215.51400000000001</c:v>
                </c:pt>
                <c:pt idx="37" formatCode="General">
                  <c:v>217.64599999999999</c:v>
                </c:pt>
                <c:pt idx="38" formatCode="General">
                  <c:v>223.28899999999999</c:v>
                </c:pt>
                <c:pt idx="39" formatCode="General">
                  <c:v>51.253999999999998</c:v>
                </c:pt>
                <c:pt idx="40" formatCode="General">
                  <c:v>53.552999999999997</c:v>
                </c:pt>
                <c:pt idx="41" formatCode="General">
                  <c:v>51.823999999999998</c:v>
                </c:pt>
              </c:numCache>
            </c:numRef>
          </c:yVal>
          <c:smooth val="0"/>
        </c:ser>
        <c:ser>
          <c:idx val="0"/>
          <c:order val="1"/>
          <c:spPr>
            <a:ln w="12700">
              <a:solidFill>
                <a:schemeClr val="tx1">
                  <a:shade val="95000"/>
                  <a:satMod val="105000"/>
                </a:schemeClr>
              </a:solidFill>
            </a:ln>
          </c:spPr>
          <c:marker>
            <c:symbol val="none"/>
          </c:marker>
          <c:xVal>
            <c:numRef>
              <c:f>graph!$L$4:$L$16</c:f>
              <c:numCache>
                <c:formatCode>General</c:formatCode>
                <c:ptCount val="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</c:numCache>
            </c:numRef>
          </c:xVal>
          <c:yVal>
            <c:numRef>
              <c:f>graph!$M$4:$M$16</c:f>
              <c:numCache>
                <c:formatCode>General</c:formatCode>
                <c:ptCount val="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791488"/>
        <c:axId val="171793408"/>
      </c:scatterChart>
      <c:valAx>
        <c:axId val="171791488"/>
        <c:scaling>
          <c:orientation val="minMax"/>
          <c:max val="12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Lebow thickness (nm)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1793408"/>
        <c:crosses val="autoZero"/>
        <c:crossBetween val="midCat"/>
      </c:valAx>
      <c:valAx>
        <c:axId val="171793408"/>
        <c:scaling>
          <c:orientation val="minMax"/>
          <c:max val="12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Measured thickness (nm)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1717914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Measured vs. Lebow</a:t>
            </a:r>
            <a:r>
              <a:rPr lang="en-US" baseline="0"/>
              <a:t> thicknesses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253804736858487"/>
          <c:y val="0.10514132697430813"/>
          <c:w val="0.75053617309693998"/>
          <c:h val="0.77927473271238401"/>
        </c:manualLayout>
      </c:layout>
      <c:scatterChart>
        <c:scatterStyle val="lineMarker"/>
        <c:varyColors val="0"/>
        <c:ser>
          <c:idx val="2"/>
          <c:order val="0"/>
          <c:tx>
            <c:v>weighted averages</c:v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summary!$Z$3:$Z$44</c:f>
                <c:numCache>
                  <c:formatCode>General</c:formatCode>
                  <c:ptCount val="42"/>
                  <c:pt idx="0">
                    <c:v>12.349361462442067</c:v>
                  </c:pt>
                  <c:pt idx="6">
                    <c:v>13.425653722621316</c:v>
                  </c:pt>
                  <c:pt idx="16">
                    <c:v>12.405967831097888</c:v>
                  </c:pt>
                  <c:pt idx="18">
                    <c:v>11.789010757915598</c:v>
                  </c:pt>
                  <c:pt idx="21">
                    <c:v>10.191413448330662</c:v>
                  </c:pt>
                  <c:pt idx="30">
                    <c:v>7.4124427851812866</c:v>
                  </c:pt>
                  <c:pt idx="35">
                    <c:v>2.8703200567362188</c:v>
                  </c:pt>
                  <c:pt idx="39">
                    <c:v>2.1350915404335509</c:v>
                  </c:pt>
                </c:numCache>
              </c:numRef>
            </c:plus>
            <c:minus>
              <c:numRef>
                <c:f>summary!$Z$3:$Z$45</c:f>
                <c:numCache>
                  <c:formatCode>General</c:formatCode>
                  <c:ptCount val="43"/>
                  <c:pt idx="0">
                    <c:v>12.349361462442067</c:v>
                  </c:pt>
                  <c:pt idx="6">
                    <c:v>13.425653722621316</c:v>
                  </c:pt>
                  <c:pt idx="16">
                    <c:v>12.405967831097888</c:v>
                  </c:pt>
                  <c:pt idx="18">
                    <c:v>11.789010757915598</c:v>
                  </c:pt>
                  <c:pt idx="21">
                    <c:v>10.191413448330662</c:v>
                  </c:pt>
                  <c:pt idx="30">
                    <c:v>7.4124427851812866</c:v>
                  </c:pt>
                  <c:pt idx="35">
                    <c:v>2.8703200567362188</c:v>
                  </c:pt>
                  <c:pt idx="39">
                    <c:v>2.1350915404335509</c:v>
                  </c:pt>
                </c:numCache>
              </c:numRef>
            </c:minus>
          </c:errBars>
          <c:errBars>
            <c:errDir val="x"/>
            <c:errBarType val="both"/>
            <c:errValType val="percentage"/>
            <c:noEndCap val="0"/>
            <c:val val="10"/>
          </c:errBars>
          <c:xVal>
            <c:numRef>
              <c:f>summary!$D$3:$D$44</c:f>
              <c:numCache>
                <c:formatCode>General</c:formatCode>
                <c:ptCount val="42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870</c:v>
                </c:pt>
                <c:pt idx="7">
                  <c:v>870</c:v>
                </c:pt>
                <c:pt idx="8">
                  <c:v>870</c:v>
                </c:pt>
                <c:pt idx="9">
                  <c:v>870</c:v>
                </c:pt>
                <c:pt idx="10">
                  <c:v>870</c:v>
                </c:pt>
                <c:pt idx="11">
                  <c:v>870</c:v>
                </c:pt>
                <c:pt idx="12">
                  <c:v>870</c:v>
                </c:pt>
                <c:pt idx="13">
                  <c:v>870</c:v>
                </c:pt>
                <c:pt idx="14">
                  <c:v>870</c:v>
                </c:pt>
                <c:pt idx="15">
                  <c:v>870</c:v>
                </c:pt>
                <c:pt idx="16">
                  <c:v>750</c:v>
                </c:pt>
                <c:pt idx="17">
                  <c:v>750</c:v>
                </c:pt>
                <c:pt idx="18">
                  <c:v>625</c:v>
                </c:pt>
                <c:pt idx="19">
                  <c:v>625</c:v>
                </c:pt>
                <c:pt idx="20">
                  <c:v>625</c:v>
                </c:pt>
                <c:pt idx="21">
                  <c:v>500</c:v>
                </c:pt>
                <c:pt idx="22">
                  <c:v>500</c:v>
                </c:pt>
                <c:pt idx="23">
                  <c:v>500</c:v>
                </c:pt>
                <c:pt idx="24">
                  <c:v>500</c:v>
                </c:pt>
                <c:pt idx="25">
                  <c:v>500</c:v>
                </c:pt>
                <c:pt idx="26">
                  <c:v>500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355</c:v>
                </c:pt>
                <c:pt idx="31">
                  <c:v>355</c:v>
                </c:pt>
                <c:pt idx="32">
                  <c:v>355</c:v>
                </c:pt>
                <c:pt idx="33">
                  <c:v>355</c:v>
                </c:pt>
                <c:pt idx="34">
                  <c:v>355</c:v>
                </c:pt>
                <c:pt idx="35">
                  <c:v>225</c:v>
                </c:pt>
                <c:pt idx="36">
                  <c:v>225</c:v>
                </c:pt>
                <c:pt idx="37">
                  <c:v>225</c:v>
                </c:pt>
                <c:pt idx="38">
                  <c:v>225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</c:numCache>
            </c:numRef>
          </c:xVal>
          <c:yVal>
            <c:numRef>
              <c:f>summary!$Y$3:$Y$45</c:f>
              <c:numCache>
                <c:formatCode>0.00</c:formatCode>
                <c:ptCount val="43"/>
                <c:pt idx="0">
                  <c:v>950.5528520349668</c:v>
                </c:pt>
                <c:pt idx="6">
                  <c:v>817.03800361134506</c:v>
                </c:pt>
                <c:pt idx="16">
                  <c:v>776.30141237250245</c:v>
                </c:pt>
                <c:pt idx="18">
                  <c:v>555.66278502069542</c:v>
                </c:pt>
                <c:pt idx="21">
                  <c:v>482.0016646012993</c:v>
                </c:pt>
                <c:pt idx="30">
                  <c:v>387.57416494352731</c:v>
                </c:pt>
                <c:pt idx="35">
                  <c:v>216.88002740530297</c:v>
                </c:pt>
                <c:pt idx="39">
                  <c:v>52.187081734059035</c:v>
                </c:pt>
              </c:numCache>
            </c:numRef>
          </c:yVal>
          <c:smooth val="0"/>
        </c:ser>
        <c:ser>
          <c:idx val="0"/>
          <c:order val="1"/>
          <c:spPr>
            <a:ln w="12700">
              <a:solidFill>
                <a:schemeClr val="tx1">
                  <a:shade val="95000"/>
                  <a:satMod val="105000"/>
                </a:schemeClr>
              </a:solidFill>
            </a:ln>
          </c:spPr>
          <c:marker>
            <c:symbol val="none"/>
          </c:marker>
          <c:xVal>
            <c:numRef>
              <c:f>graph!$L$4:$L$16</c:f>
              <c:numCache>
                <c:formatCode>General</c:formatCode>
                <c:ptCount val="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</c:numCache>
            </c:numRef>
          </c:xVal>
          <c:yVal>
            <c:numRef>
              <c:f>graph!$M$4:$M$16</c:f>
              <c:numCache>
                <c:formatCode>General</c:formatCode>
                <c:ptCount val="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641088"/>
        <c:axId val="171651456"/>
      </c:scatterChart>
      <c:valAx>
        <c:axId val="171641088"/>
        <c:scaling>
          <c:orientation val="minMax"/>
          <c:max val="12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Lebow thickness (nm)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1651456"/>
        <c:crosses val="autoZero"/>
        <c:crossBetween val="midCat"/>
      </c:valAx>
      <c:valAx>
        <c:axId val="171651456"/>
        <c:scaling>
          <c:orientation val="minMax"/>
          <c:max val="12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Measured thickness (nm)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716410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Foil 3057: nominally 870 nm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summary!$AG$9:$AG$18</c:f>
                <c:numCache>
                  <c:formatCode>General</c:formatCode>
                  <c:ptCount val="10"/>
                  <c:pt idx="0">
                    <c:v>42.45504053354469</c:v>
                  </c:pt>
                  <c:pt idx="1">
                    <c:v>42.455287365103615</c:v>
                  </c:pt>
                  <c:pt idx="2">
                    <c:v>42.45594240464586</c:v>
                  </c:pt>
                  <c:pt idx="3">
                    <c:v>42.456057597753777</c:v>
                  </c:pt>
                  <c:pt idx="4">
                    <c:v>42.455871611636077</c:v>
                  </c:pt>
                  <c:pt idx="5">
                    <c:v>42.4301540478669</c:v>
                  </c:pt>
                  <c:pt idx="6">
                    <c:v>42.464544309793325</c:v>
                  </c:pt>
                  <c:pt idx="7">
                    <c:v>42.461933240722104</c:v>
                  </c:pt>
                  <c:pt idx="8">
                    <c:v>42.460377273867046</c:v>
                  </c:pt>
                  <c:pt idx="9">
                    <c:v>42.46126912411782</c:v>
                  </c:pt>
                </c:numCache>
              </c:numRef>
            </c:plus>
            <c:minus>
              <c:numRef>
                <c:f>summary!$AG$9:$AG$18</c:f>
                <c:numCache>
                  <c:formatCode>General</c:formatCode>
                  <c:ptCount val="10"/>
                  <c:pt idx="0">
                    <c:v>42.45504053354469</c:v>
                  </c:pt>
                  <c:pt idx="1">
                    <c:v>42.455287365103615</c:v>
                  </c:pt>
                  <c:pt idx="2">
                    <c:v>42.45594240464586</c:v>
                  </c:pt>
                  <c:pt idx="3">
                    <c:v>42.456057597753777</c:v>
                  </c:pt>
                  <c:pt idx="4">
                    <c:v>42.455871611636077</c:v>
                  </c:pt>
                  <c:pt idx="5">
                    <c:v>42.4301540478669</c:v>
                  </c:pt>
                  <c:pt idx="6">
                    <c:v>42.464544309793325</c:v>
                  </c:pt>
                  <c:pt idx="7">
                    <c:v>42.461933240722104</c:v>
                  </c:pt>
                  <c:pt idx="8">
                    <c:v>42.460377273867046</c:v>
                  </c:pt>
                  <c:pt idx="9">
                    <c:v>42.46126912411782</c:v>
                  </c:pt>
                </c:numCache>
              </c:numRef>
            </c:minus>
          </c:errBars>
          <c:cat>
            <c:multiLvlStrRef>
              <c:f>summary!$G$9:$I$18</c:f>
              <c:multiLvlStrCache>
                <c:ptCount val="10"/>
                <c:lvl>
                  <c:pt idx="0">
                    <c:v>0 deg</c:v>
                  </c:pt>
                  <c:pt idx="1">
                    <c:v>0 deg</c:v>
                  </c:pt>
                  <c:pt idx="2">
                    <c:v>neg 1.7</c:v>
                  </c:pt>
                  <c:pt idx="3">
                    <c:v>neg 1.7</c:v>
                  </c:pt>
                  <c:pt idx="4">
                    <c:v>neg 1.7</c:v>
                  </c:pt>
                  <c:pt idx="5">
                    <c:v>2.5 deg</c:v>
                  </c:pt>
                  <c:pt idx="6">
                    <c:v>2.5 deg</c:v>
                  </c:pt>
                  <c:pt idx="7">
                    <c:v>0 deg</c:v>
                  </c:pt>
                  <c:pt idx="8">
                    <c:v>0 deg</c:v>
                  </c:pt>
                  <c:pt idx="9">
                    <c:v>0 deg</c:v>
                  </c:pt>
                </c:lvl>
                <c:lvl>
                  <c:pt idx="0">
                    <c:v>spot 1</c:v>
                  </c:pt>
                  <c:pt idx="1">
                    <c:v>spot 1</c:v>
                  </c:pt>
                  <c:pt idx="2">
                    <c:v>spot1</c:v>
                  </c:pt>
                  <c:pt idx="3">
                    <c:v>spot1</c:v>
                  </c:pt>
                  <c:pt idx="4">
                    <c:v>spot1</c:v>
                  </c:pt>
                  <c:pt idx="5">
                    <c:v>spot 1</c:v>
                  </c:pt>
                  <c:pt idx="6">
                    <c:v>spot 2</c:v>
                  </c:pt>
                  <c:pt idx="7">
                    <c:v>spot 2</c:v>
                  </c:pt>
                  <c:pt idx="8">
                    <c:v>spot 3</c:v>
                  </c:pt>
                  <c:pt idx="9">
                    <c:v>spot 4</c:v>
                  </c:pt>
                </c:lvl>
                <c:lvl>
                  <c:pt idx="0">
                    <c:v>center </c:v>
                  </c:pt>
                  <c:pt idx="1">
                    <c:v>center </c:v>
                  </c:pt>
                  <c:pt idx="2">
                    <c:v>center </c:v>
                  </c:pt>
                  <c:pt idx="3">
                    <c:v>center </c:v>
                  </c:pt>
                  <c:pt idx="4">
                    <c:v>center </c:v>
                  </c:pt>
                  <c:pt idx="5">
                    <c:v>center </c:v>
                  </c:pt>
                  <c:pt idx="6">
                    <c:v>center </c:v>
                  </c:pt>
                  <c:pt idx="7">
                    <c:v>edge</c:v>
                  </c:pt>
                  <c:pt idx="8">
                    <c:v>edge</c:v>
                  </c:pt>
                  <c:pt idx="9">
                    <c:v>edge</c:v>
                  </c:pt>
                </c:lvl>
              </c:multiLvlStrCache>
            </c:multiLvlStrRef>
          </c:cat>
          <c:val>
            <c:numRef>
              <c:f>summary!$P$9:$P$15</c:f>
              <c:numCache>
                <c:formatCode>0</c:formatCode>
                <c:ptCount val="7"/>
                <c:pt idx="0">
                  <c:v>749.13499999999999</c:v>
                </c:pt>
                <c:pt idx="1">
                  <c:v>752.62400000000002</c:v>
                </c:pt>
                <c:pt idx="2">
                  <c:v>808.41700000000003</c:v>
                </c:pt>
                <c:pt idx="3">
                  <c:v>809.928</c:v>
                </c:pt>
                <c:pt idx="4">
                  <c:v>807.48699999999997</c:v>
                </c:pt>
                <c:pt idx="5">
                  <c:v>861.04200000000003</c:v>
                </c:pt>
                <c:pt idx="6">
                  <c:v>876.63800000000003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668608"/>
        <c:axId val="171670144"/>
      </c:barChart>
      <c:catAx>
        <c:axId val="171668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71670144"/>
        <c:crosses val="autoZero"/>
        <c:auto val="1"/>
        <c:lblAlgn val="ctr"/>
        <c:lblOffset val="100"/>
        <c:noMultiLvlLbl val="0"/>
      </c:catAx>
      <c:valAx>
        <c:axId val="171670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Measured thickness (nm)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71668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Foil 3057: nominally 870 nm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summary!$AG$9:$AG$18</c:f>
                <c:numCache>
                  <c:formatCode>General</c:formatCode>
                  <c:ptCount val="10"/>
                  <c:pt idx="0">
                    <c:v>42.45504053354469</c:v>
                  </c:pt>
                  <c:pt idx="1">
                    <c:v>42.455287365103615</c:v>
                  </c:pt>
                  <c:pt idx="2">
                    <c:v>42.45594240464586</c:v>
                  </c:pt>
                  <c:pt idx="3">
                    <c:v>42.456057597753777</c:v>
                  </c:pt>
                  <c:pt idx="4">
                    <c:v>42.455871611636077</c:v>
                  </c:pt>
                  <c:pt idx="5">
                    <c:v>42.4301540478669</c:v>
                  </c:pt>
                  <c:pt idx="6">
                    <c:v>42.464544309793325</c:v>
                  </c:pt>
                  <c:pt idx="7">
                    <c:v>42.461933240722104</c:v>
                  </c:pt>
                  <c:pt idx="8">
                    <c:v>42.460377273867046</c:v>
                  </c:pt>
                  <c:pt idx="9">
                    <c:v>42.46126912411782</c:v>
                  </c:pt>
                </c:numCache>
              </c:numRef>
            </c:plus>
            <c:minus>
              <c:numRef>
                <c:f>summary!$AG$9:$AG$18</c:f>
                <c:numCache>
                  <c:formatCode>General</c:formatCode>
                  <c:ptCount val="10"/>
                  <c:pt idx="0">
                    <c:v>42.45504053354469</c:v>
                  </c:pt>
                  <c:pt idx="1">
                    <c:v>42.455287365103615</c:v>
                  </c:pt>
                  <c:pt idx="2">
                    <c:v>42.45594240464586</c:v>
                  </c:pt>
                  <c:pt idx="3">
                    <c:v>42.456057597753777</c:v>
                  </c:pt>
                  <c:pt idx="4">
                    <c:v>42.455871611636077</c:v>
                  </c:pt>
                  <c:pt idx="5">
                    <c:v>42.4301540478669</c:v>
                  </c:pt>
                  <c:pt idx="6">
                    <c:v>42.464544309793325</c:v>
                  </c:pt>
                  <c:pt idx="7">
                    <c:v>42.461933240722104</c:v>
                  </c:pt>
                  <c:pt idx="8">
                    <c:v>42.460377273867046</c:v>
                  </c:pt>
                  <c:pt idx="9">
                    <c:v>42.46126912411782</c:v>
                  </c:pt>
                </c:numCache>
              </c:numRef>
            </c:minus>
          </c:errBars>
          <c:cat>
            <c:multiLvlStrRef>
              <c:f>summary!$G$9:$I$18</c:f>
              <c:multiLvlStrCache>
                <c:ptCount val="10"/>
                <c:lvl>
                  <c:pt idx="0">
                    <c:v>0 deg</c:v>
                  </c:pt>
                  <c:pt idx="1">
                    <c:v>0 deg</c:v>
                  </c:pt>
                  <c:pt idx="2">
                    <c:v>neg 1.7</c:v>
                  </c:pt>
                  <c:pt idx="3">
                    <c:v>neg 1.7</c:v>
                  </c:pt>
                  <c:pt idx="4">
                    <c:v>neg 1.7</c:v>
                  </c:pt>
                  <c:pt idx="5">
                    <c:v>2.5 deg</c:v>
                  </c:pt>
                  <c:pt idx="6">
                    <c:v>2.5 deg</c:v>
                  </c:pt>
                  <c:pt idx="7">
                    <c:v>0 deg</c:v>
                  </c:pt>
                  <c:pt idx="8">
                    <c:v>0 deg</c:v>
                  </c:pt>
                  <c:pt idx="9">
                    <c:v>0 deg</c:v>
                  </c:pt>
                </c:lvl>
                <c:lvl>
                  <c:pt idx="0">
                    <c:v>spot 1</c:v>
                  </c:pt>
                  <c:pt idx="1">
                    <c:v>spot 1</c:v>
                  </c:pt>
                  <c:pt idx="2">
                    <c:v>spot1</c:v>
                  </c:pt>
                  <c:pt idx="3">
                    <c:v>spot1</c:v>
                  </c:pt>
                  <c:pt idx="4">
                    <c:v>spot1</c:v>
                  </c:pt>
                  <c:pt idx="5">
                    <c:v>spot 1</c:v>
                  </c:pt>
                  <c:pt idx="6">
                    <c:v>spot 2</c:v>
                  </c:pt>
                  <c:pt idx="7">
                    <c:v>spot 2</c:v>
                  </c:pt>
                  <c:pt idx="8">
                    <c:v>spot 3</c:v>
                  </c:pt>
                  <c:pt idx="9">
                    <c:v>spot 4</c:v>
                  </c:pt>
                </c:lvl>
                <c:lvl>
                  <c:pt idx="0">
                    <c:v>center </c:v>
                  </c:pt>
                  <c:pt idx="1">
                    <c:v>center </c:v>
                  </c:pt>
                  <c:pt idx="2">
                    <c:v>center </c:v>
                  </c:pt>
                  <c:pt idx="3">
                    <c:v>center </c:v>
                  </c:pt>
                  <c:pt idx="4">
                    <c:v>center </c:v>
                  </c:pt>
                  <c:pt idx="5">
                    <c:v>center </c:v>
                  </c:pt>
                  <c:pt idx="6">
                    <c:v>center </c:v>
                  </c:pt>
                  <c:pt idx="7">
                    <c:v>edge</c:v>
                  </c:pt>
                  <c:pt idx="8">
                    <c:v>edge</c:v>
                  </c:pt>
                  <c:pt idx="9">
                    <c:v>edge</c:v>
                  </c:pt>
                </c:lvl>
              </c:multiLvlStrCache>
            </c:multiLvlStrRef>
          </c:cat>
          <c:val>
            <c:numRef>
              <c:f>summary!$P$9:$P$15</c:f>
              <c:numCache>
                <c:formatCode>0</c:formatCode>
                <c:ptCount val="7"/>
                <c:pt idx="0">
                  <c:v>749.13499999999999</c:v>
                </c:pt>
                <c:pt idx="1">
                  <c:v>752.62400000000002</c:v>
                </c:pt>
                <c:pt idx="2">
                  <c:v>808.41700000000003</c:v>
                </c:pt>
                <c:pt idx="3">
                  <c:v>809.928</c:v>
                </c:pt>
                <c:pt idx="4">
                  <c:v>807.48699999999997</c:v>
                </c:pt>
                <c:pt idx="5">
                  <c:v>861.04200000000003</c:v>
                </c:pt>
                <c:pt idx="6">
                  <c:v>876.63800000000003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692800"/>
        <c:axId val="171694336"/>
      </c:barChart>
      <c:catAx>
        <c:axId val="171692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71694336"/>
        <c:crosses val="autoZero"/>
        <c:auto val="1"/>
        <c:lblAlgn val="ctr"/>
        <c:lblOffset val="100"/>
        <c:noMultiLvlLbl val="0"/>
      </c:catAx>
      <c:valAx>
        <c:axId val="171694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Measured thickness (nm)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7169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Foil 3057: nominally 870 nm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summary!$AG$9:$AG$18</c:f>
                <c:numCache>
                  <c:formatCode>General</c:formatCode>
                  <c:ptCount val="10"/>
                  <c:pt idx="0">
                    <c:v>42.45504053354469</c:v>
                  </c:pt>
                  <c:pt idx="1">
                    <c:v>42.455287365103615</c:v>
                  </c:pt>
                  <c:pt idx="2">
                    <c:v>42.45594240464586</c:v>
                  </c:pt>
                  <c:pt idx="3">
                    <c:v>42.456057597753777</c:v>
                  </c:pt>
                  <c:pt idx="4">
                    <c:v>42.455871611636077</c:v>
                  </c:pt>
                  <c:pt idx="5">
                    <c:v>42.4301540478669</c:v>
                  </c:pt>
                  <c:pt idx="6">
                    <c:v>42.464544309793325</c:v>
                  </c:pt>
                  <c:pt idx="7">
                    <c:v>42.461933240722104</c:v>
                  </c:pt>
                  <c:pt idx="8">
                    <c:v>42.460377273867046</c:v>
                  </c:pt>
                  <c:pt idx="9">
                    <c:v>42.46126912411782</c:v>
                  </c:pt>
                </c:numCache>
              </c:numRef>
            </c:plus>
            <c:minus>
              <c:numRef>
                <c:f>summary!$AG$9:$AG$18</c:f>
                <c:numCache>
                  <c:formatCode>General</c:formatCode>
                  <c:ptCount val="10"/>
                  <c:pt idx="0">
                    <c:v>42.45504053354469</c:v>
                  </c:pt>
                  <c:pt idx="1">
                    <c:v>42.455287365103615</c:v>
                  </c:pt>
                  <c:pt idx="2">
                    <c:v>42.45594240464586</c:v>
                  </c:pt>
                  <c:pt idx="3">
                    <c:v>42.456057597753777</c:v>
                  </c:pt>
                  <c:pt idx="4">
                    <c:v>42.455871611636077</c:v>
                  </c:pt>
                  <c:pt idx="5">
                    <c:v>42.4301540478669</c:v>
                  </c:pt>
                  <c:pt idx="6">
                    <c:v>42.464544309793325</c:v>
                  </c:pt>
                  <c:pt idx="7">
                    <c:v>42.461933240722104</c:v>
                  </c:pt>
                  <c:pt idx="8">
                    <c:v>42.460377273867046</c:v>
                  </c:pt>
                  <c:pt idx="9">
                    <c:v>42.46126912411782</c:v>
                  </c:pt>
                </c:numCache>
              </c:numRef>
            </c:minus>
          </c:errBars>
          <c:cat>
            <c:multiLvlStrRef>
              <c:f>summary!$G$16:$I$18</c:f>
              <c:multiLvlStrCache>
                <c:ptCount val="3"/>
                <c:lvl>
                  <c:pt idx="0">
                    <c:v>0 deg</c:v>
                  </c:pt>
                  <c:pt idx="1">
                    <c:v>0 deg</c:v>
                  </c:pt>
                  <c:pt idx="2">
                    <c:v>0 deg</c:v>
                  </c:pt>
                </c:lvl>
                <c:lvl>
                  <c:pt idx="0">
                    <c:v>spot 2</c:v>
                  </c:pt>
                  <c:pt idx="1">
                    <c:v>spot 3</c:v>
                  </c:pt>
                  <c:pt idx="2">
                    <c:v>spot 4</c:v>
                  </c:pt>
                </c:lvl>
                <c:lvl>
                  <c:pt idx="0">
                    <c:v>edge</c:v>
                  </c:pt>
                  <c:pt idx="1">
                    <c:v>edge</c:v>
                  </c:pt>
                  <c:pt idx="2">
                    <c:v>edge</c:v>
                  </c:pt>
                </c:lvl>
              </c:multiLvlStrCache>
            </c:multiLvlStrRef>
          </c:cat>
          <c:val>
            <c:numRef>
              <c:f>summary!$P$16:$P$18</c:f>
              <c:numCache>
                <c:formatCode>0</c:formatCode>
                <c:ptCount val="3"/>
                <c:pt idx="0">
                  <c:v>844.42700000000002</c:v>
                </c:pt>
                <c:pt idx="1">
                  <c:v>824.63499999999999</c:v>
                </c:pt>
                <c:pt idx="2">
                  <c:v>836.03662068965491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846272"/>
        <c:axId val="171889024"/>
      </c:barChart>
      <c:catAx>
        <c:axId val="171846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71889024"/>
        <c:crosses val="autoZero"/>
        <c:auto val="1"/>
        <c:lblAlgn val="ctr"/>
        <c:lblOffset val="100"/>
        <c:noMultiLvlLbl val="0"/>
      </c:catAx>
      <c:valAx>
        <c:axId val="171889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Measured thickness (nm)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71846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'stats 870nm'!$R$16:$R$22</c:f>
              <c:numCache>
                <c:formatCode>General</c:formatCode>
                <c:ptCount val="7"/>
                <c:pt idx="0">
                  <c:v>757</c:v>
                </c:pt>
                <c:pt idx="1">
                  <c:v>777</c:v>
                </c:pt>
                <c:pt idx="2">
                  <c:v>797</c:v>
                </c:pt>
                <c:pt idx="3">
                  <c:v>817</c:v>
                </c:pt>
                <c:pt idx="4">
                  <c:v>837</c:v>
                </c:pt>
                <c:pt idx="5">
                  <c:v>857</c:v>
                </c:pt>
                <c:pt idx="6">
                  <c:v>877</c:v>
                </c:pt>
              </c:numCache>
            </c:numRef>
          </c:xVal>
          <c:yVal>
            <c:numRef>
              <c:f>'stats 870nm'!$S$16:$S$22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</c:numCache>
            </c:numRef>
          </c:yVal>
          <c:smooth val="0"/>
        </c:ser>
        <c:ser>
          <c:idx val="1"/>
          <c:order val="1"/>
          <c:tx>
            <c:v>fit</c:v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'stats 870nm'!$R$15:$R$23</c:f>
              <c:numCache>
                <c:formatCode>General</c:formatCode>
                <c:ptCount val="9"/>
                <c:pt idx="0">
                  <c:v>737</c:v>
                </c:pt>
                <c:pt idx="1">
                  <c:v>757</c:v>
                </c:pt>
                <c:pt idx="2">
                  <c:v>777</c:v>
                </c:pt>
                <c:pt idx="3">
                  <c:v>797</c:v>
                </c:pt>
                <c:pt idx="4">
                  <c:v>817</c:v>
                </c:pt>
                <c:pt idx="5">
                  <c:v>837</c:v>
                </c:pt>
                <c:pt idx="6">
                  <c:v>857</c:v>
                </c:pt>
                <c:pt idx="7">
                  <c:v>877</c:v>
                </c:pt>
                <c:pt idx="8">
                  <c:v>897</c:v>
                </c:pt>
              </c:numCache>
            </c:numRef>
          </c:xVal>
          <c:yVal>
            <c:numRef>
              <c:f>'stats 870nm'!$T$15:$T$23</c:f>
              <c:numCache>
                <c:formatCode>General</c:formatCode>
                <c:ptCount val="9"/>
                <c:pt idx="0">
                  <c:v>0.30463443214720215</c:v>
                </c:pt>
                <c:pt idx="1">
                  <c:v>0.67422030468334471</c:v>
                </c:pt>
                <c:pt idx="2">
                  <c:v>1.1894472636631401</c:v>
                </c:pt>
                <c:pt idx="3">
                  <c:v>1.6726654302984838</c:v>
                </c:pt>
                <c:pt idx="4">
                  <c:v>1.8749664308525953</c:v>
                </c:pt>
                <c:pt idx="5">
                  <c:v>1.6753225630686619</c:v>
                </c:pt>
                <c:pt idx="6">
                  <c:v>1.1932292867573497</c:v>
                </c:pt>
                <c:pt idx="7">
                  <c:v>0.67743853393207609</c:v>
                </c:pt>
                <c:pt idx="8">
                  <c:v>0.30657477230970598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977024"/>
        <c:axId val="168886272"/>
      </c:scatterChart>
      <c:valAx>
        <c:axId val="178977024"/>
        <c:scaling>
          <c:orientation val="minMax"/>
          <c:max val="925"/>
          <c:min val="700"/>
        </c:scaling>
        <c:delete val="0"/>
        <c:axPos val="b"/>
        <c:numFmt formatCode="General" sourceLinked="1"/>
        <c:majorTickMark val="out"/>
        <c:minorTickMark val="none"/>
        <c:tickLblPos val="nextTo"/>
        <c:crossAx val="168886272"/>
        <c:crosses val="autoZero"/>
        <c:crossBetween val="midCat"/>
      </c:valAx>
      <c:valAx>
        <c:axId val="168886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89770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Thickness distribution: all measurements of 5275 (500 nm)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'stats 870nm'!$X$53:$X$61</c:f>
              <c:numCache>
                <c:formatCode>0.00</c:formatCode>
                <c:ptCount val="9"/>
                <c:pt idx="0">
                  <c:v>421.969696969697</c:v>
                </c:pt>
                <c:pt idx="1">
                  <c:v>436.969696969697</c:v>
                </c:pt>
                <c:pt idx="2">
                  <c:v>451.969696969697</c:v>
                </c:pt>
                <c:pt idx="3">
                  <c:v>466.969696969697</c:v>
                </c:pt>
                <c:pt idx="4">
                  <c:v>481.969696969697</c:v>
                </c:pt>
                <c:pt idx="5">
                  <c:v>496.969696969697</c:v>
                </c:pt>
                <c:pt idx="6">
                  <c:v>511.969696969697</c:v>
                </c:pt>
                <c:pt idx="7">
                  <c:v>526.969696969697</c:v>
                </c:pt>
                <c:pt idx="8">
                  <c:v>541.969696969697</c:v>
                </c:pt>
              </c:numCache>
            </c:numRef>
          </c:cat>
          <c:val>
            <c:numRef>
              <c:f>'stats 870nm'!$Y$53:$Y$61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912384"/>
        <c:axId val="168914304"/>
      </c:barChart>
      <c:catAx>
        <c:axId val="16891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bins (thickness - nm)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68914304"/>
        <c:crosses val="autoZero"/>
        <c:auto val="1"/>
        <c:lblAlgn val="ctr"/>
        <c:lblOffset val="100"/>
        <c:noMultiLvlLbl val="0"/>
      </c:catAx>
      <c:valAx>
        <c:axId val="168914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8912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/>
            </a:pPr>
            <a:r>
              <a:rPr lang="en-US"/>
              <a:t>Asymmetry vs. Foil thickness</a:t>
            </a:r>
          </a:p>
        </c:rich>
      </c:tx>
      <c:layout>
        <c:manualLayout>
          <c:xMode val="edge"/>
          <c:yMode val="edge"/>
          <c:x val="0.34988606152677554"/>
          <c:y val="2.94015430597066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17424717722781"/>
          <c:y val="0.18118623521145447"/>
          <c:w val="0.79798361960275732"/>
          <c:h val="0.64298184399350722"/>
        </c:manualLayout>
      </c:layout>
      <c:scatterChart>
        <c:scatterStyle val="lineMarker"/>
        <c:varyColors val="0"/>
        <c:ser>
          <c:idx val="3"/>
          <c:order val="0"/>
          <c:tx>
            <c:v>Timing cut asym </c:v>
          </c:tx>
          <c:spPr>
            <a:ln w="28575">
              <a:noFill/>
            </a:ln>
          </c:spPr>
          <c:marker>
            <c:symbol val="x"/>
            <c:size val="4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asymmetry!$I$7:$I$15</c:f>
                <c:numCache>
                  <c:formatCode>General</c:formatCode>
                  <c:ptCount val="9"/>
                  <c:pt idx="0">
                    <c:v>2.14E-3</c:v>
                  </c:pt>
                  <c:pt idx="1">
                    <c:v>2.1700000000000001E-3</c:v>
                  </c:pt>
                  <c:pt idx="2">
                    <c:v>2.1999999999999999E-2</c:v>
                  </c:pt>
                  <c:pt idx="3">
                    <c:v>3.6600000000000001E-3</c:v>
                  </c:pt>
                  <c:pt idx="4">
                    <c:v>8.8000000000000005E-3</c:v>
                  </c:pt>
                  <c:pt idx="5">
                    <c:v>1.24E-2</c:v>
                  </c:pt>
                  <c:pt idx="6">
                    <c:v>4.4799999999999996E-3</c:v>
                  </c:pt>
                  <c:pt idx="7">
                    <c:v>8.0499999999999999E-3</c:v>
                  </c:pt>
                </c:numCache>
              </c:numRef>
            </c:plus>
            <c:minus>
              <c:numRef>
                <c:f>asymmetry!$I$7:$I$15</c:f>
                <c:numCache>
                  <c:formatCode>General</c:formatCode>
                  <c:ptCount val="9"/>
                  <c:pt idx="0">
                    <c:v>2.14E-3</c:v>
                  </c:pt>
                  <c:pt idx="1">
                    <c:v>2.1700000000000001E-3</c:v>
                  </c:pt>
                  <c:pt idx="2">
                    <c:v>2.1999999999999999E-2</c:v>
                  </c:pt>
                  <c:pt idx="3">
                    <c:v>3.6600000000000001E-3</c:v>
                  </c:pt>
                  <c:pt idx="4">
                    <c:v>8.8000000000000005E-3</c:v>
                  </c:pt>
                  <c:pt idx="5">
                    <c:v>1.24E-2</c:v>
                  </c:pt>
                  <c:pt idx="6">
                    <c:v>4.4799999999999996E-3</c:v>
                  </c:pt>
                  <c:pt idx="7">
                    <c:v>8.0499999999999999E-3</c:v>
                  </c:pt>
                </c:numCache>
              </c:numRef>
            </c:minus>
          </c:errBars>
          <c:errBars>
            <c:errDir val="x"/>
            <c:errBarType val="both"/>
            <c:errValType val="cust"/>
            <c:noEndCap val="0"/>
            <c:plus>
              <c:numRef>
                <c:f>asymmetry!$I$7:$I$15</c:f>
                <c:numCache>
                  <c:formatCode>General</c:formatCode>
                  <c:ptCount val="9"/>
                  <c:pt idx="0">
                    <c:v>2.14E-3</c:v>
                  </c:pt>
                  <c:pt idx="1">
                    <c:v>2.1700000000000001E-3</c:v>
                  </c:pt>
                  <c:pt idx="2">
                    <c:v>2.1999999999999999E-2</c:v>
                  </c:pt>
                  <c:pt idx="3">
                    <c:v>3.6600000000000001E-3</c:v>
                  </c:pt>
                  <c:pt idx="4">
                    <c:v>8.8000000000000005E-3</c:v>
                  </c:pt>
                  <c:pt idx="5">
                    <c:v>1.24E-2</c:v>
                  </c:pt>
                  <c:pt idx="6">
                    <c:v>4.4799999999999996E-3</c:v>
                  </c:pt>
                  <c:pt idx="7">
                    <c:v>8.0499999999999999E-3</c:v>
                  </c:pt>
                </c:numCache>
              </c:numRef>
            </c:plus>
            <c:minus>
              <c:numRef>
                <c:f>asymmetry!$I$7:$I$15</c:f>
                <c:numCache>
                  <c:formatCode>General</c:formatCode>
                  <c:ptCount val="9"/>
                  <c:pt idx="0">
                    <c:v>2.14E-3</c:v>
                  </c:pt>
                  <c:pt idx="1">
                    <c:v>2.1700000000000001E-3</c:v>
                  </c:pt>
                  <c:pt idx="2">
                    <c:v>2.1999999999999999E-2</c:v>
                  </c:pt>
                  <c:pt idx="3">
                    <c:v>3.6600000000000001E-3</c:v>
                  </c:pt>
                  <c:pt idx="4">
                    <c:v>8.8000000000000005E-3</c:v>
                  </c:pt>
                  <c:pt idx="5">
                    <c:v>1.24E-2</c:v>
                  </c:pt>
                  <c:pt idx="6">
                    <c:v>4.4799999999999996E-3</c:v>
                  </c:pt>
                  <c:pt idx="7">
                    <c:v>8.0499999999999999E-3</c:v>
                  </c:pt>
                </c:numCache>
              </c:numRef>
            </c:minus>
          </c:errBars>
          <c:xVal>
            <c:numRef>
              <c:f>asymmetry!$H$7:$H$14</c:f>
              <c:numCache>
                <c:formatCode>General</c:formatCode>
                <c:ptCount val="8"/>
                <c:pt idx="0">
                  <c:v>5.219E-2</c:v>
                </c:pt>
                <c:pt idx="1">
                  <c:v>0.21565000000000001</c:v>
                </c:pt>
                <c:pt idx="2">
                  <c:v>0.38800000000000001</c:v>
                </c:pt>
                <c:pt idx="3">
                  <c:v>0.48209000000000002</c:v>
                </c:pt>
                <c:pt idx="4">
                  <c:v>0.55511999999999995</c:v>
                </c:pt>
                <c:pt idx="5">
                  <c:v>0.77629999999999999</c:v>
                </c:pt>
                <c:pt idx="6">
                  <c:v>0.82757000000000003</c:v>
                </c:pt>
                <c:pt idx="7">
                  <c:v>0.95455000000000001</c:v>
                </c:pt>
              </c:numCache>
            </c:numRef>
          </c:xVal>
          <c:yVal>
            <c:numRef>
              <c:f>asymmetry!$D$7:$D$14</c:f>
              <c:numCache>
                <c:formatCode>General</c:formatCode>
                <c:ptCount val="8"/>
                <c:pt idx="0">
                  <c:v>43.4</c:v>
                </c:pt>
                <c:pt idx="1">
                  <c:v>40.92</c:v>
                </c:pt>
                <c:pt idx="2">
                  <c:v>39.159999999999997</c:v>
                </c:pt>
                <c:pt idx="3">
                  <c:v>38.61</c:v>
                </c:pt>
                <c:pt idx="4">
                  <c:v>37.21</c:v>
                </c:pt>
                <c:pt idx="5">
                  <c:v>35.61</c:v>
                </c:pt>
                <c:pt idx="6">
                  <c:v>34.61</c:v>
                </c:pt>
                <c:pt idx="7">
                  <c:v>33.65</c:v>
                </c:pt>
              </c:numCache>
            </c:numRef>
          </c:yVal>
          <c:smooth val="0"/>
        </c:ser>
        <c:ser>
          <c:idx val="0"/>
          <c:order val="1"/>
          <c:tx>
            <c:v>fit</c:v>
          </c:tx>
          <c:spPr>
            <a:ln w="1270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asymmetry!$H$7:$H$14</c:f>
              <c:numCache>
                <c:formatCode>General</c:formatCode>
                <c:ptCount val="8"/>
                <c:pt idx="0">
                  <c:v>5.219E-2</c:v>
                </c:pt>
                <c:pt idx="1">
                  <c:v>0.21565000000000001</c:v>
                </c:pt>
                <c:pt idx="2">
                  <c:v>0.38800000000000001</c:v>
                </c:pt>
                <c:pt idx="3">
                  <c:v>0.48209000000000002</c:v>
                </c:pt>
                <c:pt idx="4">
                  <c:v>0.55511999999999995</c:v>
                </c:pt>
                <c:pt idx="5">
                  <c:v>0.77629999999999999</c:v>
                </c:pt>
                <c:pt idx="6">
                  <c:v>0.82757000000000003</c:v>
                </c:pt>
                <c:pt idx="7">
                  <c:v>0.95455000000000001</c:v>
                </c:pt>
              </c:numCache>
            </c:numRef>
          </c:xVal>
          <c:yVal>
            <c:numRef>
              <c:f>asymmetry!$E$7:$E$14</c:f>
              <c:numCache>
                <c:formatCode>General</c:formatCode>
                <c:ptCount val="8"/>
                <c:pt idx="0">
                  <c:v>43.312743852363681</c:v>
                </c:pt>
                <c:pt idx="1">
                  <c:v>41.200465279824876</c:v>
                </c:pt>
                <c:pt idx="2">
                  <c:v>39.18553038097545</c:v>
                </c:pt>
                <c:pt idx="3">
                  <c:v>38.166531349206835</c:v>
                </c:pt>
                <c:pt idx="4">
                  <c:v>37.41142158650068</c:v>
                </c:pt>
                <c:pt idx="5">
                  <c:v>35.296457183293313</c:v>
                </c:pt>
                <c:pt idx="6">
                  <c:v>34.839902039663308</c:v>
                </c:pt>
                <c:pt idx="7">
                  <c:v>33.758427407943017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961344"/>
        <c:axId val="171959424"/>
      </c:scatterChart>
      <c:valAx>
        <c:axId val="171959424"/>
        <c:scaling>
          <c:orientation val="minMax"/>
          <c:max val="45"/>
          <c:min val="30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/>
                  <a:t>Asym (%)</a:t>
                </a:r>
              </a:p>
            </c:rich>
          </c:tx>
          <c:layout>
            <c:manualLayout>
              <c:xMode val="edge"/>
              <c:yMode val="edge"/>
              <c:x val="3.1542072403671434E-2"/>
              <c:y val="0.3627130122915977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171961344"/>
        <c:crosses val="autoZero"/>
        <c:crossBetween val="midCat"/>
      </c:valAx>
      <c:valAx>
        <c:axId val="171961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/>
                  <a:t>Measured Foil thickness (um)</a:t>
                </a:r>
              </a:p>
            </c:rich>
          </c:tx>
          <c:layout>
            <c:manualLayout>
              <c:xMode val="edge"/>
              <c:yMode val="edge"/>
              <c:x val="0.3287735482768796"/>
              <c:y val="0.9082129502660392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171959424"/>
        <c:crosses val="autoZero"/>
        <c:crossBetween val="midCat"/>
      </c:val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826495985339114"/>
          <c:y val="0.2398430154671147"/>
          <c:w val="0.24222207985836089"/>
          <c:h val="0.10999502358647584"/>
        </c:manualLayout>
      </c:layout>
      <c:overlay val="0"/>
      <c:spPr>
        <a:solidFill>
          <a:srgbClr val="FFFFFF"/>
        </a:solidFill>
        <a:ln>
          <a:noFill/>
        </a:ln>
      </c:spPr>
      <c:txPr>
        <a:bodyPr/>
        <a:lstStyle/>
        <a:p>
          <a:pPr>
            <a:defRPr sz="1000" b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304800</xdr:colOff>
      <xdr:row>24</xdr:row>
      <xdr:rowOff>137160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137160</xdr:rowOff>
    </xdr:from>
    <xdr:to>
      <xdr:col>9</xdr:col>
      <xdr:colOff>297180</xdr:colOff>
      <xdr:row>53</xdr:row>
      <xdr:rowOff>99060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518160</xdr:colOff>
      <xdr:row>28</xdr:row>
      <xdr:rowOff>91440</xdr:rowOff>
    </xdr:from>
    <xdr:to>
      <xdr:col>18</xdr:col>
      <xdr:colOff>525780</xdr:colOff>
      <xdr:row>52</xdr:row>
      <xdr:rowOff>156210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342900</xdr:colOff>
      <xdr:row>22</xdr:row>
      <xdr:rowOff>45720</xdr:rowOff>
    </xdr:from>
    <xdr:to>
      <xdr:col>22</xdr:col>
      <xdr:colOff>350520</xdr:colOff>
      <xdr:row>46</xdr:row>
      <xdr:rowOff>110490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49</xdr:row>
      <xdr:rowOff>0</xdr:rowOff>
    </xdr:from>
    <xdr:to>
      <xdr:col>23</xdr:col>
      <xdr:colOff>7620</xdr:colOff>
      <xdr:row>73</xdr:row>
      <xdr:rowOff>64770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16</xdr:row>
      <xdr:rowOff>87630</xdr:rowOff>
    </xdr:from>
    <xdr:to>
      <xdr:col>34</xdr:col>
      <xdr:colOff>457200</xdr:colOff>
      <xdr:row>31</xdr:row>
      <xdr:rowOff>80010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160020</xdr:colOff>
      <xdr:row>49</xdr:row>
      <xdr:rowOff>7620</xdr:rowOff>
    </xdr:from>
    <xdr:to>
      <xdr:col>14</xdr:col>
      <xdr:colOff>213360</xdr:colOff>
      <xdr:row>66</xdr:row>
      <xdr:rowOff>163830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7574280" y="571500"/>
    <xdr:ext cx="5151120" cy="4175698"/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0"/>
  <sheetViews>
    <sheetView tabSelected="1" zoomScaleNormal="100" workbookViewId="0">
      <pane xSplit="4" ySplit="2" topLeftCell="E20" activePane="bottomRight" state="frozen"/>
      <selection pane="topRight" activeCell="E1" sqref="E1"/>
      <selection pane="bottomLeft" activeCell="A3" sqref="A3"/>
      <selection pane="bottomRight" activeCell="F42" sqref="F42"/>
    </sheetView>
  </sheetViews>
  <sheetFormatPr defaultRowHeight="14.4" x14ac:dyDescent="0.3"/>
  <cols>
    <col min="1" max="1" width="8.88671875" style="1"/>
    <col min="2" max="2" width="13.77734375" style="1" bestFit="1" customWidth="1"/>
    <col min="3" max="3" width="4.21875" style="1" customWidth="1"/>
    <col min="4" max="4" width="5.77734375" style="1" customWidth="1"/>
    <col min="5" max="5" width="9.109375" style="1" customWidth="1"/>
    <col min="6" max="8" width="8.88671875" style="1"/>
    <col min="9" max="9" width="6.88671875" style="1" bestFit="1" customWidth="1"/>
    <col min="10" max="10" width="12.109375" style="1" bestFit="1" customWidth="1"/>
    <col min="11" max="11" width="12.109375" style="1" customWidth="1"/>
    <col min="12" max="13" width="12.109375" style="5" customWidth="1"/>
    <col min="14" max="14" width="7.33203125" style="5" bestFit="1" customWidth="1"/>
    <col min="15" max="15" width="11.44140625" style="5" bestFit="1" customWidth="1"/>
    <col min="16" max="16" width="8.88671875" style="9"/>
    <col min="17" max="17" width="8.88671875" style="10"/>
    <col min="18" max="20" width="8.88671875" style="28"/>
    <col min="21" max="22" width="8.88671875" style="10"/>
    <col min="23" max="24" width="8.88671875" style="21"/>
    <col min="25" max="26" width="8.88671875" style="70"/>
    <col min="27" max="27" width="8.88671875" style="21"/>
    <col min="28" max="30" width="8.88671875" style="34"/>
    <col min="31" max="31" width="8.88671875" style="35"/>
    <col min="32" max="32" width="8.88671875" style="34"/>
    <col min="33" max="35" width="8.88671875" style="69"/>
    <col min="36" max="40" width="8.88671875" style="1"/>
    <col min="41" max="41" width="54.88671875" style="1" bestFit="1" customWidth="1"/>
    <col min="42" max="43" width="8.88671875" style="6"/>
    <col min="44" max="45" width="8.88671875" style="3"/>
    <col min="46" max="16384" width="8.88671875" style="1"/>
  </cols>
  <sheetData>
    <row r="1" spans="1:45" x14ac:dyDescent="0.3">
      <c r="P1" s="7" t="s">
        <v>110</v>
      </c>
      <c r="Q1" s="8"/>
      <c r="R1" s="27"/>
      <c r="S1" s="27"/>
      <c r="T1" s="27"/>
      <c r="U1" s="8"/>
      <c r="V1" s="8"/>
      <c r="W1" s="20"/>
      <c r="X1" s="20"/>
      <c r="Y1" s="70" t="s">
        <v>159</v>
      </c>
      <c r="Z1" s="70" t="s">
        <v>161</v>
      </c>
      <c r="AB1" s="34" t="s">
        <v>152</v>
      </c>
      <c r="AC1" s="34" t="s">
        <v>151</v>
      </c>
      <c r="AE1" s="35" t="s">
        <v>157</v>
      </c>
      <c r="AG1" s="69" t="s">
        <v>158</v>
      </c>
      <c r="AN1" s="1" t="s">
        <v>176</v>
      </c>
    </row>
    <row r="2" spans="1:45" x14ac:dyDescent="0.3">
      <c r="A2" s="1" t="s">
        <v>0</v>
      </c>
      <c r="B2" s="1" t="s">
        <v>19</v>
      </c>
      <c r="C2" s="1" t="s">
        <v>7</v>
      </c>
      <c r="D2" s="1" t="s">
        <v>11</v>
      </c>
      <c r="E2" s="1" t="s">
        <v>1</v>
      </c>
      <c r="F2" s="1" t="s">
        <v>2</v>
      </c>
      <c r="G2" s="1" t="s">
        <v>4</v>
      </c>
      <c r="H2" s="1" t="s">
        <v>18</v>
      </c>
      <c r="I2" s="1" t="s">
        <v>5</v>
      </c>
      <c r="J2" s="1" t="s">
        <v>65</v>
      </c>
      <c r="K2" s="1" t="s">
        <v>73</v>
      </c>
      <c r="L2" s="5" t="s">
        <v>3</v>
      </c>
      <c r="M2" s="5" t="s">
        <v>154</v>
      </c>
      <c r="N2" s="5" t="s">
        <v>31</v>
      </c>
      <c r="O2" s="5" t="s">
        <v>35</v>
      </c>
      <c r="P2" s="9" t="s">
        <v>49</v>
      </c>
      <c r="Q2" s="10" t="s">
        <v>127</v>
      </c>
      <c r="R2" s="28" t="s">
        <v>128</v>
      </c>
      <c r="S2" s="28" t="s">
        <v>125</v>
      </c>
      <c r="T2" s="28" t="s">
        <v>126</v>
      </c>
      <c r="U2" s="10" t="s">
        <v>33</v>
      </c>
      <c r="V2" s="10" t="s">
        <v>34</v>
      </c>
      <c r="W2" s="21" t="s">
        <v>112</v>
      </c>
      <c r="X2" s="21" t="s">
        <v>113</v>
      </c>
      <c r="Y2" s="70" t="s">
        <v>160</v>
      </c>
      <c r="Z2" s="70" t="s">
        <v>162</v>
      </c>
      <c r="AB2" s="34" t="s">
        <v>120</v>
      </c>
      <c r="AD2" s="34" t="s">
        <v>153</v>
      </c>
      <c r="AE2" s="35" t="s">
        <v>156</v>
      </c>
      <c r="AH2" s="69" t="s">
        <v>163</v>
      </c>
      <c r="AI2" s="69" t="s">
        <v>164</v>
      </c>
      <c r="AJ2" s="1" t="s">
        <v>36</v>
      </c>
      <c r="AK2" s="1" t="s">
        <v>37</v>
      </c>
      <c r="AL2" s="1" t="s">
        <v>6</v>
      </c>
      <c r="AM2" s="1" t="s">
        <v>150</v>
      </c>
      <c r="AN2" s="1" t="s">
        <v>177</v>
      </c>
      <c r="AO2" s="1" t="s">
        <v>48</v>
      </c>
    </row>
    <row r="3" spans="1:45" s="36" customFormat="1" x14ac:dyDescent="0.3">
      <c r="A3" s="36">
        <v>5385</v>
      </c>
      <c r="B3" s="36" t="s">
        <v>14</v>
      </c>
      <c r="C3" s="36" t="s">
        <v>8</v>
      </c>
      <c r="D3" s="36">
        <v>1000</v>
      </c>
      <c r="E3" s="36">
        <f>0.1*D3</f>
        <v>100</v>
      </c>
      <c r="F3" s="36" t="s">
        <v>12</v>
      </c>
      <c r="G3" s="36" t="s">
        <v>15</v>
      </c>
      <c r="H3" s="36" t="s">
        <v>16</v>
      </c>
      <c r="I3" s="36" t="s">
        <v>17</v>
      </c>
      <c r="J3" s="36" t="s">
        <v>59</v>
      </c>
      <c r="K3" s="36" t="s">
        <v>72</v>
      </c>
      <c r="L3" s="37" t="s">
        <v>74</v>
      </c>
      <c r="M3" s="37">
        <v>5</v>
      </c>
      <c r="N3" s="37">
        <v>1</v>
      </c>
      <c r="O3" s="37">
        <v>29</v>
      </c>
      <c r="P3" s="9">
        <v>971.55600000000004</v>
      </c>
      <c r="Q3" s="10">
        <v>64.210999999999999</v>
      </c>
      <c r="R3" s="28">
        <f>1/((AG3)^2)</f>
        <v>4.6853409618969173E-4</v>
      </c>
      <c r="S3" s="28">
        <f t="shared" ref="S3:S8" si="0">P3*R3</f>
        <v>0.45520711235767214</v>
      </c>
      <c r="T3" s="28">
        <f>AG3^2*R3^2</f>
        <v>4.6853409618969173E-4</v>
      </c>
      <c r="U3" s="10">
        <v>859.68399999999997</v>
      </c>
      <c r="V3" s="10">
        <v>1096.838</v>
      </c>
      <c r="W3" s="21">
        <f>AVERAGE(P3:P8)</f>
        <v>948.57924242424235</v>
      </c>
      <c r="X3" s="21">
        <f>STDEV(P3:P8)</f>
        <v>23.525143273216067</v>
      </c>
      <c r="Y3" s="70">
        <f>SUM(S3:S8)/SUM(R3:R8)</f>
        <v>950.5528520349668</v>
      </c>
      <c r="Z3" s="70">
        <f>SQRT(1/SUM(R3:R8))</f>
        <v>12.349361462442067</v>
      </c>
      <c r="AA3" s="21"/>
      <c r="AB3" s="38">
        <f t="shared" ref="AB3:AB32" si="1">IF(P3*0.2%=0,"",P3*0.2%)</f>
        <v>1.9431120000000002</v>
      </c>
      <c r="AC3" s="38">
        <f t="shared" ref="AC3:AC44" si="2">4*AM3</f>
        <v>39.712820512820514</v>
      </c>
      <c r="AD3" s="38">
        <f>$X$3</f>
        <v>23.525143273216067</v>
      </c>
      <c r="AE3" s="39">
        <f t="shared" ref="AE3:AE44" si="3">3*D3*0.000001*M3</f>
        <v>1.4999999999999999E-2</v>
      </c>
      <c r="AF3" s="38"/>
      <c r="AG3" s="70">
        <f>SQRT(AB3^2+AC3^2+AD3^2+AE3^2)</f>
        <v>46.198662192247347</v>
      </c>
      <c r="AH3" s="70"/>
      <c r="AI3" s="70"/>
      <c r="AJ3" s="36">
        <v>97.5</v>
      </c>
      <c r="AK3" s="36">
        <v>968</v>
      </c>
      <c r="AL3" s="36">
        <f>AJ3/AK3</f>
        <v>0.10072314049586777</v>
      </c>
      <c r="AM3" s="36">
        <f>1/AL3</f>
        <v>9.9282051282051285</v>
      </c>
      <c r="AN3" s="36">
        <v>1</v>
      </c>
      <c r="AO3" s="36" t="s">
        <v>166</v>
      </c>
      <c r="AP3" s="64"/>
      <c r="AQ3" s="64"/>
      <c r="AR3" s="65"/>
      <c r="AS3" s="65"/>
    </row>
    <row r="4" spans="1:45" s="36" customFormat="1" x14ac:dyDescent="0.3">
      <c r="A4" s="36">
        <v>5385</v>
      </c>
      <c r="B4" s="36" t="s">
        <v>14</v>
      </c>
      <c r="C4" s="36" t="s">
        <v>8</v>
      </c>
      <c r="D4" s="36">
        <v>1000</v>
      </c>
      <c r="E4" s="36">
        <f>0.1*D4</f>
        <v>100</v>
      </c>
      <c r="F4" s="36" t="s">
        <v>12</v>
      </c>
      <c r="G4" s="36" t="s">
        <v>15</v>
      </c>
      <c r="H4" s="36" t="s">
        <v>16</v>
      </c>
      <c r="I4" s="36" t="s">
        <v>17</v>
      </c>
      <c r="J4" s="36" t="s">
        <v>59</v>
      </c>
      <c r="K4" s="36" t="s">
        <v>72</v>
      </c>
      <c r="L4" s="37" t="s">
        <v>74</v>
      </c>
      <c r="M4" s="37">
        <v>5</v>
      </c>
      <c r="N4" s="37">
        <v>2</v>
      </c>
      <c r="O4" s="37">
        <v>26</v>
      </c>
      <c r="P4" s="9">
        <v>928.09400000000005</v>
      </c>
      <c r="Q4" s="10">
        <v>34.786999999999999</v>
      </c>
      <c r="R4" s="28">
        <f t="shared" ref="R4:R44" si="4">1/((AG4)^2)</f>
        <v>4.6439820180156665E-4</v>
      </c>
      <c r="S4" s="28">
        <f t="shared" si="0"/>
        <v>0.43100518470282323</v>
      </c>
      <c r="T4" s="28">
        <f t="shared" ref="T4:T44" si="5">AG4^2*R4^2</f>
        <v>4.6439820180156665E-4</v>
      </c>
      <c r="U4" s="10">
        <v>859.68399999999997</v>
      </c>
      <c r="V4" s="10">
        <v>988.14200000000005</v>
      </c>
      <c r="W4" s="21"/>
      <c r="X4" s="21"/>
      <c r="Y4" s="70"/>
      <c r="Z4" s="70"/>
      <c r="AA4" s="21"/>
      <c r="AB4" s="38">
        <f t="shared" si="1"/>
        <v>1.8561880000000002</v>
      </c>
      <c r="AC4" s="38">
        <f t="shared" si="2"/>
        <v>39.955555555555556</v>
      </c>
      <c r="AD4" s="38">
        <f t="shared" ref="AD4:AD8" si="6">$X$3</f>
        <v>23.525143273216067</v>
      </c>
      <c r="AE4" s="39">
        <f t="shared" si="3"/>
        <v>1.4999999999999999E-2</v>
      </c>
      <c r="AF4" s="38"/>
      <c r="AG4" s="70">
        <f t="shared" ref="AG4:AG44" si="7">SQRT(AB4^2+AC4^2+AD4^2+AE4^2)</f>
        <v>46.40392703931181</v>
      </c>
      <c r="AH4" s="70"/>
      <c r="AI4" s="70"/>
      <c r="AJ4" s="36">
        <v>90</v>
      </c>
      <c r="AK4" s="36">
        <v>899</v>
      </c>
      <c r="AL4" s="36">
        <f t="shared" ref="AL4:AL16" si="8">AJ4/AK4</f>
        <v>0.10011123470522804</v>
      </c>
      <c r="AM4" s="36">
        <f t="shared" ref="AM4:AM44" si="9">1/AL4</f>
        <v>9.9888888888888889</v>
      </c>
      <c r="AN4" s="36">
        <v>0</v>
      </c>
      <c r="AO4" s="36" t="s">
        <v>165</v>
      </c>
      <c r="AP4" s="64"/>
      <c r="AQ4" s="64"/>
      <c r="AR4" s="65"/>
      <c r="AS4" s="65"/>
    </row>
    <row r="5" spans="1:45" s="36" customFormat="1" x14ac:dyDescent="0.3">
      <c r="A5" s="36">
        <v>5385</v>
      </c>
      <c r="B5" s="36" t="s">
        <v>20</v>
      </c>
      <c r="C5" s="36" t="s">
        <v>8</v>
      </c>
      <c r="D5" s="36">
        <v>1000</v>
      </c>
      <c r="E5" s="36">
        <f t="shared" ref="E5" si="10">0.1*D5</f>
        <v>100</v>
      </c>
      <c r="F5" s="36" t="s">
        <v>12</v>
      </c>
      <c r="G5" s="36" t="s">
        <v>15</v>
      </c>
      <c r="H5" s="36" t="s">
        <v>16</v>
      </c>
      <c r="I5" s="36" t="s">
        <v>17</v>
      </c>
      <c r="J5" s="36" t="s">
        <v>59</v>
      </c>
      <c r="K5" s="36" t="s">
        <v>72</v>
      </c>
      <c r="L5" s="37" t="s">
        <v>76</v>
      </c>
      <c r="M5" s="37">
        <v>2</v>
      </c>
      <c r="N5" s="37">
        <v>3</v>
      </c>
      <c r="O5" s="37">
        <v>20</v>
      </c>
      <c r="P5" s="11">
        <v>916.08900000000006</v>
      </c>
      <c r="Q5" s="12">
        <v>37.131999999999998</v>
      </c>
      <c r="R5" s="28">
        <f t="shared" si="4"/>
        <v>1.0488085180442549E-3</v>
      </c>
      <c r="S5" s="28">
        <f t="shared" si="0"/>
        <v>0.96080194648664341</v>
      </c>
      <c r="T5" s="28">
        <f t="shared" si="5"/>
        <v>1.0488085180442547E-3</v>
      </c>
      <c r="U5" s="12">
        <v>836.63400000000001</v>
      </c>
      <c r="V5" s="12">
        <v>975.24800000000005</v>
      </c>
      <c r="W5" s="30"/>
      <c r="X5" s="30"/>
      <c r="Y5" s="83"/>
      <c r="Z5" s="83"/>
      <c r="AA5" s="30"/>
      <c r="AB5" s="38">
        <f t="shared" si="1"/>
        <v>1.8321780000000001</v>
      </c>
      <c r="AC5" s="38">
        <f t="shared" si="2"/>
        <v>19.916666666666668</v>
      </c>
      <c r="AD5" s="38">
        <f t="shared" si="6"/>
        <v>23.525143273216067</v>
      </c>
      <c r="AE5" s="39">
        <f t="shared" si="3"/>
        <v>6.0000000000000001E-3</v>
      </c>
      <c r="AF5" s="38"/>
      <c r="AG5" s="70">
        <f t="shared" si="7"/>
        <v>30.878194399286663</v>
      </c>
      <c r="AH5" s="70"/>
      <c r="AI5" s="70"/>
      <c r="AJ5" s="36">
        <v>144</v>
      </c>
      <c r="AK5" s="36">
        <v>717</v>
      </c>
      <c r="AL5" s="36">
        <f t="shared" ref="AL5" si="11">AJ5/AK5</f>
        <v>0.20083682008368201</v>
      </c>
      <c r="AM5" s="36">
        <f t="shared" si="9"/>
        <v>4.979166666666667</v>
      </c>
      <c r="AN5" s="36">
        <v>0</v>
      </c>
      <c r="AO5" s="36" t="s">
        <v>167</v>
      </c>
      <c r="AP5" s="64"/>
      <c r="AQ5" s="64"/>
      <c r="AR5" s="65"/>
      <c r="AS5" s="65"/>
    </row>
    <row r="6" spans="1:45" s="36" customFormat="1" x14ac:dyDescent="0.3">
      <c r="A6" s="36">
        <v>5385</v>
      </c>
      <c r="B6" s="36" t="s">
        <v>30</v>
      </c>
      <c r="C6" s="36" t="s">
        <v>8</v>
      </c>
      <c r="D6" s="36">
        <v>1000</v>
      </c>
      <c r="E6" s="36">
        <f>0.1*D6</f>
        <v>100</v>
      </c>
      <c r="F6" s="36" t="s">
        <v>12</v>
      </c>
      <c r="G6" s="36" t="s">
        <v>15</v>
      </c>
      <c r="H6" s="36" t="s">
        <v>28</v>
      </c>
      <c r="I6" s="36" t="s">
        <v>29</v>
      </c>
      <c r="J6" s="36" t="s">
        <v>78</v>
      </c>
      <c r="K6" s="36" t="s">
        <v>72</v>
      </c>
      <c r="L6" s="37" t="s">
        <v>70</v>
      </c>
      <c r="M6" s="37">
        <v>1</v>
      </c>
      <c r="N6" s="37">
        <v>1</v>
      </c>
      <c r="O6" s="37">
        <v>46</v>
      </c>
      <c r="P6" s="9">
        <v>968.01345454545447</v>
      </c>
      <c r="Q6" s="10">
        <v>9.9781403922931347</v>
      </c>
      <c r="R6" s="28">
        <f t="shared" si="4"/>
        <v>1.525445307941453E-3</v>
      </c>
      <c r="S6" s="28">
        <f t="shared" si="0"/>
        <v>1.4766515822605606</v>
      </c>
      <c r="T6" s="28">
        <f t="shared" si="5"/>
        <v>1.525445307941453E-3</v>
      </c>
      <c r="U6" s="10">
        <v>950.61699999999996</v>
      </c>
      <c r="V6" s="10">
        <v>990.12300000000005</v>
      </c>
      <c r="W6" s="21"/>
      <c r="X6" s="21"/>
      <c r="Y6" s="70"/>
      <c r="Z6" s="70"/>
      <c r="AA6" s="21"/>
      <c r="AB6" s="38">
        <f t="shared" si="1"/>
        <v>1.936026909090909</v>
      </c>
      <c r="AC6" s="38">
        <f t="shared" si="2"/>
        <v>9.9179487179487182</v>
      </c>
      <c r="AD6" s="38">
        <f t="shared" si="6"/>
        <v>23.525143273216067</v>
      </c>
      <c r="AE6" s="39">
        <f t="shared" si="3"/>
        <v>3.0000000000000001E-3</v>
      </c>
      <c r="AF6" s="38"/>
      <c r="AG6" s="70">
        <f t="shared" si="7"/>
        <v>25.60363806161007</v>
      </c>
      <c r="AH6" s="70"/>
      <c r="AI6" s="70"/>
      <c r="AJ6" s="36">
        <v>390</v>
      </c>
      <c r="AK6" s="36">
        <v>967</v>
      </c>
      <c r="AL6" s="36">
        <f t="shared" si="8"/>
        <v>0.40330920372285417</v>
      </c>
      <c r="AM6" s="36">
        <f t="shared" si="9"/>
        <v>2.4794871794871796</v>
      </c>
      <c r="AN6" s="36">
        <v>0</v>
      </c>
      <c r="AO6" s="36" t="s">
        <v>168</v>
      </c>
      <c r="AP6" s="64"/>
      <c r="AQ6" s="64"/>
      <c r="AR6" s="65"/>
      <c r="AS6" s="65"/>
    </row>
    <row r="7" spans="1:45" s="36" customFormat="1" x14ac:dyDescent="0.3">
      <c r="A7" s="36">
        <v>5385</v>
      </c>
      <c r="B7" s="36" t="s">
        <v>27</v>
      </c>
      <c r="C7" s="36" t="s">
        <v>8</v>
      </c>
      <c r="D7" s="36">
        <v>1000</v>
      </c>
      <c r="E7" s="36">
        <f>0.1*D7</f>
        <v>100</v>
      </c>
      <c r="F7" s="36" t="s">
        <v>12</v>
      </c>
      <c r="G7" s="36" t="s">
        <v>15</v>
      </c>
      <c r="H7" s="36" t="s">
        <v>23</v>
      </c>
      <c r="I7" s="36" t="s">
        <v>26</v>
      </c>
      <c r="J7" s="36" t="s">
        <v>79</v>
      </c>
      <c r="K7" s="36" t="s">
        <v>80</v>
      </c>
      <c r="L7" s="37" t="s">
        <v>70</v>
      </c>
      <c r="M7" s="37">
        <v>1</v>
      </c>
      <c r="N7" s="37">
        <v>1</v>
      </c>
      <c r="O7" s="37">
        <v>30</v>
      </c>
      <c r="P7" s="9">
        <v>941.00699999999995</v>
      </c>
      <c r="Q7" s="10">
        <v>8.0950000000000006</v>
      </c>
      <c r="R7" s="28">
        <f t="shared" si="4"/>
        <v>1.5246047746642992E-3</v>
      </c>
      <c r="S7" s="28">
        <f t="shared" si="0"/>
        <v>1.434663765192528</v>
      </c>
      <c r="T7" s="28">
        <f t="shared" si="5"/>
        <v>1.524604774664299E-3</v>
      </c>
      <c r="U7" s="10">
        <v>915.84199999999998</v>
      </c>
      <c r="V7" s="10">
        <v>952.97</v>
      </c>
      <c r="W7" s="21"/>
      <c r="X7" s="21"/>
      <c r="Y7" s="70"/>
      <c r="Z7" s="70"/>
      <c r="AA7" s="21"/>
      <c r="AB7" s="38">
        <f t="shared" si="1"/>
        <v>1.8820139999999999</v>
      </c>
      <c r="AC7" s="38">
        <f t="shared" si="2"/>
        <v>9.9465240641711219</v>
      </c>
      <c r="AD7" s="38">
        <f t="shared" si="6"/>
        <v>23.525143273216067</v>
      </c>
      <c r="AE7" s="39">
        <f t="shared" si="3"/>
        <v>3.0000000000000001E-3</v>
      </c>
      <c r="AF7" s="38"/>
      <c r="AG7" s="70">
        <f t="shared" si="7"/>
        <v>25.610694888672473</v>
      </c>
      <c r="AH7" s="70"/>
      <c r="AI7" s="70"/>
      <c r="AJ7" s="36">
        <v>374</v>
      </c>
      <c r="AK7" s="36">
        <v>930</v>
      </c>
      <c r="AL7" s="36">
        <f t="shared" si="8"/>
        <v>0.40215053763440861</v>
      </c>
      <c r="AM7" s="36">
        <f t="shared" si="9"/>
        <v>2.4866310160427805</v>
      </c>
      <c r="AN7" s="36">
        <v>0</v>
      </c>
      <c r="AO7" s="36" t="s">
        <v>170</v>
      </c>
      <c r="AP7" s="64"/>
      <c r="AQ7" s="64"/>
      <c r="AR7" s="65"/>
      <c r="AS7" s="65"/>
    </row>
    <row r="8" spans="1:45" s="40" customFormat="1" ht="15" thickBot="1" x14ac:dyDescent="0.35">
      <c r="A8" s="40">
        <v>5385</v>
      </c>
      <c r="B8" s="40" t="s">
        <v>25</v>
      </c>
      <c r="C8" s="40" t="s">
        <v>8</v>
      </c>
      <c r="D8" s="40">
        <v>1000</v>
      </c>
      <c r="E8" s="40">
        <f t="shared" ref="E8" si="12">0.1*D8</f>
        <v>100</v>
      </c>
      <c r="F8" s="40" t="s">
        <v>12</v>
      </c>
      <c r="G8" s="40" t="s">
        <v>22</v>
      </c>
      <c r="H8" s="40" t="s">
        <v>23</v>
      </c>
      <c r="I8" s="40" t="s">
        <v>24</v>
      </c>
      <c r="J8" s="40" t="s">
        <v>79</v>
      </c>
      <c r="K8" s="40" t="s">
        <v>80</v>
      </c>
      <c r="L8" s="41" t="s">
        <v>70</v>
      </c>
      <c r="M8" s="41">
        <v>1</v>
      </c>
      <c r="N8" s="41">
        <v>1</v>
      </c>
      <c r="O8" s="41">
        <v>25</v>
      </c>
      <c r="P8" s="42">
        <v>966.71600000000001</v>
      </c>
      <c r="Q8" s="43">
        <v>13.731</v>
      </c>
      <c r="R8" s="44">
        <f t="shared" si="4"/>
        <v>1.5252968419364513E-3</v>
      </c>
      <c r="S8" s="44">
        <f t="shared" si="0"/>
        <v>1.4745288618494385</v>
      </c>
      <c r="T8" s="44">
        <f t="shared" si="5"/>
        <v>1.5252968419364513E-3</v>
      </c>
      <c r="U8" s="43">
        <v>938.27200000000005</v>
      </c>
      <c r="V8" s="43">
        <v>995.06200000000001</v>
      </c>
      <c r="W8" s="45"/>
      <c r="X8" s="45"/>
      <c r="Y8" s="71"/>
      <c r="Z8" s="71"/>
      <c r="AA8" s="45"/>
      <c r="AB8" s="46">
        <f t="shared" si="1"/>
        <v>1.933432</v>
      </c>
      <c r="AC8" s="46">
        <f t="shared" si="2"/>
        <v>9.9216710182767631</v>
      </c>
      <c r="AD8" s="38">
        <f t="shared" si="6"/>
        <v>23.525143273216067</v>
      </c>
      <c r="AE8" s="47">
        <f t="shared" si="3"/>
        <v>3.0000000000000001E-3</v>
      </c>
      <c r="AF8" s="46"/>
      <c r="AG8" s="71">
        <f t="shared" si="7"/>
        <v>25.604884106726203</v>
      </c>
      <c r="AH8" s="71"/>
      <c r="AI8" s="71"/>
      <c r="AJ8" s="40">
        <v>383</v>
      </c>
      <c r="AK8" s="40">
        <v>950</v>
      </c>
      <c r="AL8" s="40">
        <f t="shared" si="8"/>
        <v>0.4031578947368421</v>
      </c>
      <c r="AM8" s="40">
        <f t="shared" si="9"/>
        <v>2.4804177545691908</v>
      </c>
      <c r="AN8" s="40">
        <v>0</v>
      </c>
      <c r="AO8" s="40" t="s">
        <v>169</v>
      </c>
      <c r="AP8" s="66"/>
      <c r="AQ8" s="66"/>
      <c r="AR8" s="52"/>
      <c r="AS8" s="52"/>
    </row>
    <row r="9" spans="1:45" x14ac:dyDescent="0.3">
      <c r="A9" s="1">
        <v>3057</v>
      </c>
      <c r="B9" s="1" t="s">
        <v>14</v>
      </c>
      <c r="C9" s="1" t="s">
        <v>9</v>
      </c>
      <c r="D9" s="1">
        <v>870</v>
      </c>
      <c r="E9" s="1">
        <f t="shared" ref="E9:E38" si="13">0.1*D9</f>
        <v>87</v>
      </c>
      <c r="F9" s="1" t="s">
        <v>12</v>
      </c>
      <c r="G9" s="1" t="s">
        <v>22</v>
      </c>
      <c r="H9" s="1" t="s">
        <v>28</v>
      </c>
      <c r="I9" s="1" t="s">
        <v>38</v>
      </c>
      <c r="J9" s="1" t="s">
        <v>79</v>
      </c>
      <c r="K9" s="1" t="s">
        <v>81</v>
      </c>
      <c r="L9" s="5" t="s">
        <v>39</v>
      </c>
      <c r="M9" s="5">
        <v>1</v>
      </c>
      <c r="N9" s="5">
        <v>1</v>
      </c>
      <c r="O9" s="5">
        <v>16</v>
      </c>
      <c r="P9" s="9">
        <v>749.13499999999999</v>
      </c>
      <c r="Q9" s="10">
        <v>12.695</v>
      </c>
      <c r="R9" s="28">
        <f t="shared" si="4"/>
        <v>5.5480642303396596E-4</v>
      </c>
      <c r="S9" s="28">
        <f t="shared" ref="S9" si="14">P9*R9</f>
        <v>0.41562490971955007</v>
      </c>
      <c r="T9" s="28">
        <f t="shared" si="5"/>
        <v>5.5480642303396585E-4</v>
      </c>
      <c r="U9" s="10">
        <v>729.24900000000002</v>
      </c>
      <c r="V9" s="10">
        <v>768.77499999999998</v>
      </c>
      <c r="W9" s="21">
        <f>AVERAGE(P9:P18)</f>
        <v>817.03696206896552</v>
      </c>
      <c r="X9" s="21">
        <f>STDEV(P9:P18)</f>
        <v>41.677875119562181</v>
      </c>
      <c r="Y9" s="70">
        <f>SUM(S9:S18)/SUM(R9:R18)</f>
        <v>817.03800361134506</v>
      </c>
      <c r="Z9" s="70">
        <f>SQRT(1/SUM(R9:R18))</f>
        <v>13.425653722621316</v>
      </c>
      <c r="AB9" s="34">
        <f t="shared" si="1"/>
        <v>1.49827</v>
      </c>
      <c r="AC9" s="34">
        <f t="shared" si="2"/>
        <v>7.9460916442048513</v>
      </c>
      <c r="AD9" s="34">
        <f>$X$9</f>
        <v>41.677875119562181</v>
      </c>
      <c r="AE9" s="35">
        <f t="shared" si="3"/>
        <v>2.6099999999999999E-3</v>
      </c>
      <c r="AG9" s="69">
        <f t="shared" si="7"/>
        <v>42.45504053354469</v>
      </c>
      <c r="AJ9" s="36">
        <v>371</v>
      </c>
      <c r="AK9" s="36">
        <v>737</v>
      </c>
      <c r="AL9" s="36">
        <f t="shared" si="8"/>
        <v>0.50339213025780194</v>
      </c>
      <c r="AM9" s="36">
        <f t="shared" si="9"/>
        <v>1.9865229110512128</v>
      </c>
      <c r="AN9" s="36">
        <v>1</v>
      </c>
      <c r="AO9" s="36" t="s">
        <v>171</v>
      </c>
      <c r="AP9" s="6" t="s">
        <v>172</v>
      </c>
    </row>
    <row r="10" spans="1:45" x14ac:dyDescent="0.3">
      <c r="A10" s="1">
        <v>3057</v>
      </c>
      <c r="B10" s="1" t="s">
        <v>14</v>
      </c>
      <c r="C10" s="1" t="s">
        <v>9</v>
      </c>
      <c r="D10" s="1">
        <v>870</v>
      </c>
      <c r="E10" s="1">
        <f t="shared" ref="E10" si="15">0.1*D10</f>
        <v>87</v>
      </c>
      <c r="F10" s="1" t="s">
        <v>12</v>
      </c>
      <c r="G10" s="1" t="s">
        <v>22</v>
      </c>
      <c r="H10" s="1" t="s">
        <v>28</v>
      </c>
      <c r="I10" s="1" t="s">
        <v>38</v>
      </c>
      <c r="J10" s="1" t="s">
        <v>79</v>
      </c>
      <c r="K10" s="1" t="s">
        <v>81</v>
      </c>
      <c r="L10" s="5" t="s">
        <v>39</v>
      </c>
      <c r="M10" s="5">
        <v>1</v>
      </c>
      <c r="N10" s="5">
        <v>2</v>
      </c>
      <c r="O10" s="5">
        <v>29</v>
      </c>
      <c r="P10" s="9">
        <v>752.62400000000002</v>
      </c>
      <c r="Q10" s="10">
        <v>10.787000000000001</v>
      </c>
      <c r="R10" s="28">
        <f t="shared" ref="R10" si="16">1/((AG10)^2)</f>
        <v>5.5479997185463314E-4</v>
      </c>
      <c r="S10" s="28">
        <f t="shared" ref="S10" si="17">P10*R10</f>
        <v>0.41755577401712141</v>
      </c>
      <c r="T10" s="28">
        <f t="shared" ref="T10" si="18">AG10^2*R10^2</f>
        <v>5.5479997185463314E-4</v>
      </c>
      <c r="U10" s="10">
        <v>733.202</v>
      </c>
      <c r="V10" s="10">
        <v>770.75</v>
      </c>
      <c r="AB10" s="34">
        <f t="shared" ref="AB10" si="19">IF(P10*0.2%=0,"",P10*0.2%)</f>
        <v>1.5052480000000001</v>
      </c>
      <c r="AC10" s="34">
        <f t="shared" ref="AC10" si="20">4*AM10</f>
        <v>7.9460916442048513</v>
      </c>
      <c r="AD10" s="34">
        <f t="shared" ref="AD10:AD18" si="21">$X$9</f>
        <v>41.677875119562181</v>
      </c>
      <c r="AE10" s="35">
        <f t="shared" ref="AE10" si="22">3*D10*0.000001*M10</f>
        <v>2.6099999999999999E-3</v>
      </c>
      <c r="AG10" s="69">
        <f t="shared" ref="AG10" si="23">SQRT(AB10^2+AC10^2+AD10^2+AE10^2)</f>
        <v>42.455287365103615</v>
      </c>
      <c r="AJ10" s="36">
        <v>371</v>
      </c>
      <c r="AK10" s="36">
        <v>737</v>
      </c>
      <c r="AL10" s="36">
        <f t="shared" ref="AL10" si="24">AJ10/AK10</f>
        <v>0.50339213025780194</v>
      </c>
      <c r="AM10" s="36">
        <f t="shared" ref="AM10" si="25">1/AL10</f>
        <v>1.9865229110512128</v>
      </c>
      <c r="AN10" s="36">
        <v>1</v>
      </c>
      <c r="AO10" s="36" t="s">
        <v>186</v>
      </c>
    </row>
    <row r="11" spans="1:45" x14ac:dyDescent="0.3">
      <c r="A11" s="1">
        <v>3057</v>
      </c>
      <c r="B11" s="1" t="s">
        <v>20</v>
      </c>
      <c r="C11" s="1" t="s">
        <v>9</v>
      </c>
      <c r="D11" s="1">
        <v>870</v>
      </c>
      <c r="E11" s="1">
        <f t="shared" si="13"/>
        <v>87</v>
      </c>
      <c r="F11" s="1" t="s">
        <v>12</v>
      </c>
      <c r="G11" s="1" t="s">
        <v>22</v>
      </c>
      <c r="H11" s="1" t="s">
        <v>16</v>
      </c>
      <c r="I11" s="1" t="s">
        <v>40</v>
      </c>
      <c r="J11" s="1" t="s">
        <v>79</v>
      </c>
      <c r="K11" s="1" t="s">
        <v>81</v>
      </c>
      <c r="L11" s="5" t="s">
        <v>39</v>
      </c>
      <c r="M11" s="5">
        <v>1</v>
      </c>
      <c r="N11" s="5">
        <v>1</v>
      </c>
      <c r="O11" s="5">
        <v>17</v>
      </c>
      <c r="P11" s="9">
        <v>808.41700000000003</v>
      </c>
      <c r="Q11" s="10">
        <v>19.344000000000001</v>
      </c>
      <c r="R11" s="28">
        <f t="shared" si="4"/>
        <v>5.5478285231397512E-4</v>
      </c>
      <c r="S11" s="28">
        <f t="shared" ref="S11:S44" si="26">P11*R11</f>
        <v>0.44849588911910682</v>
      </c>
      <c r="T11" s="28">
        <f t="shared" si="5"/>
        <v>5.5478285231397512E-4</v>
      </c>
      <c r="U11" s="10">
        <v>768.77499999999998</v>
      </c>
      <c r="V11" s="10">
        <v>835.96799999999996</v>
      </c>
      <c r="AB11" s="34">
        <f t="shared" si="1"/>
        <v>1.6168340000000001</v>
      </c>
      <c r="AC11" s="34">
        <f t="shared" si="2"/>
        <v>7.92764857881137</v>
      </c>
      <c r="AD11" s="34">
        <f t="shared" si="21"/>
        <v>41.677875119562181</v>
      </c>
      <c r="AE11" s="35">
        <f t="shared" si="3"/>
        <v>2.6099999999999999E-3</v>
      </c>
      <c r="AG11" s="69">
        <f t="shared" si="7"/>
        <v>42.45594240464586</v>
      </c>
      <c r="AJ11" s="36">
        <v>387</v>
      </c>
      <c r="AK11" s="36">
        <v>767</v>
      </c>
      <c r="AL11" s="36">
        <f t="shared" si="8"/>
        <v>0.50456323337679265</v>
      </c>
      <c r="AM11" s="36">
        <f t="shared" si="9"/>
        <v>1.9819121447028425</v>
      </c>
      <c r="AN11" s="36">
        <v>1</v>
      </c>
      <c r="AO11" s="36" t="s">
        <v>174</v>
      </c>
    </row>
    <row r="12" spans="1:45" x14ac:dyDescent="0.3">
      <c r="A12" s="1">
        <v>3057</v>
      </c>
      <c r="B12" s="1" t="s">
        <v>20</v>
      </c>
      <c r="C12" s="1" t="s">
        <v>9</v>
      </c>
      <c r="D12" s="1">
        <v>870</v>
      </c>
      <c r="E12" s="1">
        <f t="shared" ref="E12" si="27">0.1*D12</f>
        <v>87</v>
      </c>
      <c r="F12" s="1" t="s">
        <v>12</v>
      </c>
      <c r="G12" s="1" t="s">
        <v>22</v>
      </c>
      <c r="H12" s="1" t="s">
        <v>16</v>
      </c>
      <c r="I12" s="1" t="s">
        <v>40</v>
      </c>
      <c r="J12" s="1" t="s">
        <v>79</v>
      </c>
      <c r="K12" s="1" t="s">
        <v>81</v>
      </c>
      <c r="L12" s="5" t="s">
        <v>39</v>
      </c>
      <c r="M12" s="5">
        <v>1</v>
      </c>
      <c r="N12" s="5">
        <v>2</v>
      </c>
      <c r="O12" s="5">
        <v>17</v>
      </c>
      <c r="P12" s="9">
        <v>809.928</v>
      </c>
      <c r="Q12" s="10">
        <v>25.693999999999999</v>
      </c>
      <c r="R12" s="28">
        <f t="shared" ref="R12" si="28">1/((AG12)^2)</f>
        <v>5.5477984180956675E-4</v>
      </c>
      <c r="S12" s="28">
        <f t="shared" ref="S12" si="29">P12*R12</f>
        <v>0.44933172771713875</v>
      </c>
      <c r="T12" s="28">
        <f t="shared" ref="T12" si="30">AG12^2*R12^2</f>
        <v>5.5477984180956675E-4</v>
      </c>
      <c r="U12" s="10">
        <v>776.68</v>
      </c>
      <c r="V12" s="10">
        <v>855.73099999999999</v>
      </c>
      <c r="AB12" s="34">
        <f t="shared" ref="AB12" si="31">IF(P12*0.2%=0,"",P12*0.2%)</f>
        <v>1.619856</v>
      </c>
      <c r="AC12" s="34">
        <f t="shared" ref="AC12" si="32">4*AM12</f>
        <v>7.92764857881137</v>
      </c>
      <c r="AD12" s="34">
        <f t="shared" si="21"/>
        <v>41.677875119562181</v>
      </c>
      <c r="AE12" s="35">
        <f t="shared" ref="AE12" si="33">3*D12*0.000001*M12</f>
        <v>2.6099999999999999E-3</v>
      </c>
      <c r="AG12" s="69">
        <f t="shared" ref="AG12" si="34">SQRT(AB12^2+AC12^2+AD12^2+AE12^2)</f>
        <v>42.456057597753777</v>
      </c>
      <c r="AJ12" s="36">
        <v>387</v>
      </c>
      <c r="AK12" s="36">
        <v>767</v>
      </c>
      <c r="AL12" s="36">
        <f t="shared" ref="AL12" si="35">AJ12/AK12</f>
        <v>0.50456323337679265</v>
      </c>
      <c r="AM12" s="36">
        <f t="shared" ref="AM12" si="36">1/AL12</f>
        <v>1.9819121447028425</v>
      </c>
      <c r="AN12" s="36">
        <v>1</v>
      </c>
      <c r="AO12" s="36" t="s">
        <v>186</v>
      </c>
    </row>
    <row r="13" spans="1:45" x14ac:dyDescent="0.3">
      <c r="A13" s="1">
        <v>3057</v>
      </c>
      <c r="B13" s="1" t="s">
        <v>20</v>
      </c>
      <c r="C13" s="1" t="s">
        <v>9</v>
      </c>
      <c r="D13" s="1">
        <v>870</v>
      </c>
      <c r="E13" s="1">
        <f t="shared" ref="E13" si="37">0.1*D13</f>
        <v>87</v>
      </c>
      <c r="F13" s="1" t="s">
        <v>12</v>
      </c>
      <c r="G13" s="1" t="s">
        <v>22</v>
      </c>
      <c r="H13" s="1" t="s">
        <v>16</v>
      </c>
      <c r="I13" s="1" t="s">
        <v>40</v>
      </c>
      <c r="J13" s="1" t="s">
        <v>79</v>
      </c>
      <c r="K13" s="1" t="s">
        <v>81</v>
      </c>
      <c r="L13" s="5" t="s">
        <v>39</v>
      </c>
      <c r="M13" s="5">
        <v>1</v>
      </c>
      <c r="N13" s="5">
        <v>3</v>
      </c>
      <c r="O13" s="5">
        <v>17</v>
      </c>
      <c r="P13" s="9">
        <v>807.48699999999997</v>
      </c>
      <c r="Q13" s="10">
        <v>20.669</v>
      </c>
      <c r="R13" s="28">
        <f t="shared" ref="R13" si="38">1/((AG13)^2)</f>
        <v>5.547847024599806E-4</v>
      </c>
      <c r="S13" s="28">
        <f t="shared" ref="S13" si="39">P13*R13</f>
        <v>0.44798143503530236</v>
      </c>
      <c r="T13" s="28">
        <f t="shared" ref="T13" si="40">AG13^2*R13^2</f>
        <v>5.547847024599806E-4</v>
      </c>
      <c r="U13" s="10">
        <v>774.70039999999995</v>
      </c>
      <c r="V13" s="10">
        <v>841.89700000000005</v>
      </c>
      <c r="AB13" s="34">
        <f t="shared" ref="AB13" si="41">IF(P13*0.2%=0,"",P13*0.2%)</f>
        <v>1.6149739999999999</v>
      </c>
      <c r="AC13" s="34">
        <f t="shared" ref="AC13" si="42">4*AM13</f>
        <v>7.92764857881137</v>
      </c>
      <c r="AD13" s="34">
        <f t="shared" si="21"/>
        <v>41.677875119562181</v>
      </c>
      <c r="AE13" s="35">
        <f t="shared" ref="AE13" si="43">3*D13*0.000001*M13</f>
        <v>2.6099999999999999E-3</v>
      </c>
      <c r="AG13" s="69">
        <f t="shared" ref="AG13" si="44">SQRT(AB13^2+AC13^2+AD13^2+AE13^2)</f>
        <v>42.455871611636077</v>
      </c>
      <c r="AJ13" s="36">
        <v>387</v>
      </c>
      <c r="AK13" s="36">
        <v>767</v>
      </c>
      <c r="AL13" s="36">
        <f t="shared" ref="AL13" si="45">AJ13/AK13</f>
        <v>0.50456323337679265</v>
      </c>
      <c r="AM13" s="36">
        <f t="shared" ref="AM13" si="46">1/AL13</f>
        <v>1.9819121447028425</v>
      </c>
      <c r="AN13" s="36">
        <v>1</v>
      </c>
      <c r="AO13" s="36" t="s">
        <v>187</v>
      </c>
    </row>
    <row r="14" spans="1:45" x14ac:dyDescent="0.3">
      <c r="A14" s="1">
        <v>3057</v>
      </c>
      <c r="B14" s="1" t="s">
        <v>42</v>
      </c>
      <c r="C14" s="1" t="s">
        <v>9</v>
      </c>
      <c r="D14" s="1">
        <v>870</v>
      </c>
      <c r="E14" s="1">
        <f t="shared" si="13"/>
        <v>87</v>
      </c>
      <c r="F14" s="1" t="s">
        <v>12</v>
      </c>
      <c r="G14" s="1" t="s">
        <v>22</v>
      </c>
      <c r="H14" s="1" t="s">
        <v>28</v>
      </c>
      <c r="I14" s="1" t="s">
        <v>41</v>
      </c>
      <c r="J14" s="1" t="s">
        <v>79</v>
      </c>
      <c r="K14" s="1" t="s">
        <v>81</v>
      </c>
      <c r="L14" s="5" t="s">
        <v>39</v>
      </c>
      <c r="M14" s="5">
        <v>1</v>
      </c>
      <c r="N14" s="5">
        <v>1</v>
      </c>
      <c r="O14" s="5">
        <v>16</v>
      </c>
      <c r="P14" s="9">
        <v>861.04200000000003</v>
      </c>
      <c r="Q14" s="10">
        <v>6.2789999999999999</v>
      </c>
      <c r="R14" s="28">
        <f t="shared" si="4"/>
        <v>5.5545743322057289E-4</v>
      </c>
      <c r="S14" s="28">
        <f t="shared" si="26"/>
        <v>0.47827217921510856</v>
      </c>
      <c r="T14" s="28">
        <f t="shared" si="5"/>
        <v>5.55457433220573E-4</v>
      </c>
      <c r="U14" s="10">
        <v>847.82600000000002</v>
      </c>
      <c r="V14" s="10">
        <v>871.54200000000003</v>
      </c>
      <c r="AB14" s="34">
        <f t="shared" si="1"/>
        <v>1.7220840000000002</v>
      </c>
      <c r="AC14" s="34">
        <f t="shared" si="2"/>
        <v>7.7657657657657664</v>
      </c>
      <c r="AD14" s="34">
        <f t="shared" si="21"/>
        <v>41.677875119562181</v>
      </c>
      <c r="AE14" s="35">
        <f t="shared" si="3"/>
        <v>2.6099999999999999E-3</v>
      </c>
      <c r="AG14" s="69">
        <f t="shared" si="7"/>
        <v>42.4301540478669</v>
      </c>
      <c r="AJ14" s="36">
        <v>444</v>
      </c>
      <c r="AK14" s="36">
        <v>862</v>
      </c>
      <c r="AL14" s="36">
        <f t="shared" si="8"/>
        <v>0.51508120649651967</v>
      </c>
      <c r="AM14" s="36">
        <f t="shared" si="9"/>
        <v>1.9414414414414416</v>
      </c>
      <c r="AN14" s="36">
        <v>1</v>
      </c>
      <c r="AO14" s="36" t="s">
        <v>173</v>
      </c>
    </row>
    <row r="15" spans="1:45" x14ac:dyDescent="0.3">
      <c r="A15" s="1">
        <v>3057</v>
      </c>
      <c r="B15" s="1" t="s">
        <v>43</v>
      </c>
      <c r="C15" s="1" t="s">
        <v>9</v>
      </c>
      <c r="D15" s="1">
        <v>870</v>
      </c>
      <c r="E15" s="1">
        <f t="shared" si="13"/>
        <v>87</v>
      </c>
      <c r="F15" s="1" t="s">
        <v>12</v>
      </c>
      <c r="G15" s="1" t="s">
        <v>22</v>
      </c>
      <c r="H15" s="1" t="s">
        <v>23</v>
      </c>
      <c r="I15" s="1" t="s">
        <v>41</v>
      </c>
      <c r="J15" s="1" t="s">
        <v>79</v>
      </c>
      <c r="K15" s="1" t="s">
        <v>81</v>
      </c>
      <c r="L15" s="5" t="s">
        <v>39</v>
      </c>
      <c r="M15" s="5">
        <v>1</v>
      </c>
      <c r="N15" s="5">
        <v>1</v>
      </c>
      <c r="O15" s="5">
        <v>19</v>
      </c>
      <c r="P15" s="9">
        <v>876.63800000000003</v>
      </c>
      <c r="Q15" s="10">
        <v>7.8310000000000004</v>
      </c>
      <c r="R15" s="28">
        <f t="shared" si="4"/>
        <v>5.5455811394896379E-4</v>
      </c>
      <c r="S15" s="28">
        <f t="shared" si="26"/>
        <v>0.48614671589599173</v>
      </c>
      <c r="T15" s="28">
        <f t="shared" si="5"/>
        <v>5.5455811394896379E-4</v>
      </c>
      <c r="U15" s="10">
        <v>861.66</v>
      </c>
      <c r="V15" s="10">
        <v>893.28099999999995</v>
      </c>
      <c r="AB15" s="34">
        <f t="shared" si="1"/>
        <v>1.7532760000000001</v>
      </c>
      <c r="AC15" s="34">
        <f t="shared" si="2"/>
        <v>7.944700460829492</v>
      </c>
      <c r="AD15" s="34">
        <f t="shared" si="21"/>
        <v>41.677875119562181</v>
      </c>
      <c r="AE15" s="35">
        <f t="shared" si="3"/>
        <v>2.6099999999999999E-3</v>
      </c>
      <c r="AG15" s="69">
        <f t="shared" si="7"/>
        <v>42.464544309793325</v>
      </c>
      <c r="AJ15" s="36">
        <v>434</v>
      </c>
      <c r="AK15" s="36">
        <v>862</v>
      </c>
      <c r="AL15" s="36">
        <f t="shared" si="8"/>
        <v>0.50348027842227383</v>
      </c>
      <c r="AM15" s="36">
        <f t="shared" si="9"/>
        <v>1.986175115207373</v>
      </c>
      <c r="AN15" s="36">
        <v>1</v>
      </c>
      <c r="AO15" s="36" t="s">
        <v>173</v>
      </c>
    </row>
    <row r="16" spans="1:45" x14ac:dyDescent="0.3">
      <c r="A16" s="1">
        <v>3057</v>
      </c>
      <c r="B16" s="1" t="s">
        <v>20</v>
      </c>
      <c r="C16" s="1" t="s">
        <v>9</v>
      </c>
      <c r="D16" s="1">
        <v>870</v>
      </c>
      <c r="E16" s="1">
        <f t="shared" si="13"/>
        <v>87</v>
      </c>
      <c r="F16" s="1" t="s">
        <v>12</v>
      </c>
      <c r="G16" s="1" t="s">
        <v>44</v>
      </c>
      <c r="H16" s="1" t="s">
        <v>23</v>
      </c>
      <c r="I16" s="1" t="s">
        <v>38</v>
      </c>
      <c r="J16" s="1" t="s">
        <v>79</v>
      </c>
      <c r="K16" s="1" t="s">
        <v>82</v>
      </c>
      <c r="L16" s="5" t="s">
        <v>39</v>
      </c>
      <c r="M16" s="5">
        <v>1</v>
      </c>
      <c r="N16" s="5">
        <v>1</v>
      </c>
      <c r="O16" s="5">
        <v>25</v>
      </c>
      <c r="P16" s="9">
        <v>844.42700000000002</v>
      </c>
      <c r="Q16" s="10">
        <v>11.231</v>
      </c>
      <c r="R16" s="28">
        <f t="shared" si="4"/>
        <v>5.5462631781764797E-4</v>
      </c>
      <c r="S16" s="28">
        <f t="shared" si="26"/>
        <v>0.46834143767580305</v>
      </c>
      <c r="T16" s="28">
        <f t="shared" si="5"/>
        <v>5.5462631781764797E-4</v>
      </c>
      <c r="U16" s="10">
        <v>826.08699999999999</v>
      </c>
      <c r="V16" s="10">
        <v>865.61300000000006</v>
      </c>
      <c r="AB16" s="34">
        <f t="shared" si="1"/>
        <v>1.6888540000000001</v>
      </c>
      <c r="AC16" s="34">
        <f t="shared" si="2"/>
        <v>7.944700460829492</v>
      </c>
      <c r="AD16" s="34">
        <f t="shared" si="21"/>
        <v>41.677875119562181</v>
      </c>
      <c r="AE16" s="35">
        <f t="shared" si="3"/>
        <v>2.6099999999999999E-3</v>
      </c>
      <c r="AG16" s="69">
        <f t="shared" si="7"/>
        <v>42.461933240722104</v>
      </c>
      <c r="AJ16" s="36">
        <v>434</v>
      </c>
      <c r="AK16" s="36">
        <v>862</v>
      </c>
      <c r="AL16" s="36">
        <f t="shared" si="8"/>
        <v>0.50348027842227383</v>
      </c>
      <c r="AM16" s="36">
        <f t="shared" si="9"/>
        <v>1.986175115207373</v>
      </c>
      <c r="AN16" s="36">
        <v>1</v>
      </c>
      <c r="AO16" s="36" t="s">
        <v>175</v>
      </c>
    </row>
    <row r="17" spans="1:45" s="73" customFormat="1" x14ac:dyDescent="0.3">
      <c r="A17" s="73">
        <v>3057</v>
      </c>
      <c r="B17" s="73" t="s">
        <v>43</v>
      </c>
      <c r="C17" s="73" t="s">
        <v>9</v>
      </c>
      <c r="D17" s="73">
        <v>870</v>
      </c>
      <c r="E17" s="73">
        <f t="shared" si="13"/>
        <v>87</v>
      </c>
      <c r="F17" s="73" t="s">
        <v>12</v>
      </c>
      <c r="G17" s="73" t="s">
        <v>44</v>
      </c>
      <c r="H17" s="73" t="s">
        <v>45</v>
      </c>
      <c r="I17" s="73" t="s">
        <v>38</v>
      </c>
      <c r="J17" s="73" t="s">
        <v>79</v>
      </c>
      <c r="K17" s="73" t="s">
        <v>83</v>
      </c>
      <c r="L17" s="73" t="s">
        <v>39</v>
      </c>
      <c r="M17" s="73">
        <v>1</v>
      </c>
      <c r="N17" s="73">
        <v>1</v>
      </c>
      <c r="O17" s="73">
        <v>27</v>
      </c>
      <c r="P17" s="74">
        <v>824.63499999999999</v>
      </c>
      <c r="Q17" s="75">
        <v>18.516999999999999</v>
      </c>
      <c r="R17" s="76">
        <f t="shared" si="4"/>
        <v>5.5466696729063398E-4</v>
      </c>
      <c r="S17" s="76">
        <f t="shared" si="26"/>
        <v>0.45739779457171192</v>
      </c>
      <c r="T17" s="76">
        <f t="shared" si="5"/>
        <v>5.5466696729063387E-4</v>
      </c>
      <c r="U17" s="75">
        <v>796.44299999999998</v>
      </c>
      <c r="V17" s="75">
        <v>856.06</v>
      </c>
      <c r="W17" s="77"/>
      <c r="X17" s="77"/>
      <c r="Y17" s="84"/>
      <c r="Z17" s="84"/>
      <c r="AA17" s="77"/>
      <c r="AB17" s="78">
        <f t="shared" si="1"/>
        <v>1.64927</v>
      </c>
      <c r="AC17" s="78">
        <f t="shared" si="2"/>
        <v>7.944700460829492</v>
      </c>
      <c r="AD17" s="34">
        <f t="shared" si="21"/>
        <v>41.677875119562181</v>
      </c>
      <c r="AE17" s="79">
        <f t="shared" si="3"/>
        <v>2.6099999999999999E-3</v>
      </c>
      <c r="AF17" s="78"/>
      <c r="AG17" s="80">
        <f t="shared" si="7"/>
        <v>42.460377273867046</v>
      </c>
      <c r="AH17" s="80"/>
      <c r="AI17" s="80"/>
      <c r="AJ17" s="81">
        <v>434</v>
      </c>
      <c r="AK17" s="81">
        <v>862</v>
      </c>
      <c r="AL17" s="81">
        <f t="shared" ref="AL17:AL18" si="47">AJ17/AK17</f>
        <v>0.50348027842227383</v>
      </c>
      <c r="AM17" s="81">
        <f t="shared" si="9"/>
        <v>1.986175115207373</v>
      </c>
      <c r="AN17" s="81">
        <v>0</v>
      </c>
      <c r="AO17" s="73" t="s">
        <v>179</v>
      </c>
      <c r="AP17" s="82"/>
      <c r="AQ17" s="82"/>
      <c r="AR17" s="82"/>
      <c r="AS17" s="82"/>
    </row>
    <row r="18" spans="1:45" s="40" customFormat="1" ht="15" thickBot="1" x14ac:dyDescent="0.35">
      <c r="A18" s="40">
        <v>3057</v>
      </c>
      <c r="B18" s="40" t="s">
        <v>47</v>
      </c>
      <c r="C18" s="40" t="s">
        <v>9</v>
      </c>
      <c r="D18" s="40">
        <v>870</v>
      </c>
      <c r="E18" s="40">
        <f t="shared" si="13"/>
        <v>87</v>
      </c>
      <c r="F18" s="40" t="s">
        <v>12</v>
      </c>
      <c r="G18" s="40" t="s">
        <v>44</v>
      </c>
      <c r="H18" s="40" t="s">
        <v>46</v>
      </c>
      <c r="I18" s="40" t="s">
        <v>38</v>
      </c>
      <c r="J18" s="40" t="s">
        <v>79</v>
      </c>
      <c r="K18" s="40" t="s">
        <v>84</v>
      </c>
      <c r="L18" s="41" t="s">
        <v>39</v>
      </c>
      <c r="M18" s="41">
        <v>1</v>
      </c>
      <c r="N18" s="41">
        <v>1</v>
      </c>
      <c r="O18" s="41">
        <v>29</v>
      </c>
      <c r="P18" s="42">
        <v>836.03662068965491</v>
      </c>
      <c r="Q18" s="43">
        <v>6.7739853400121701</v>
      </c>
      <c r="R18" s="44">
        <f t="shared" si="4"/>
        <v>5.5464366724854923E-4</v>
      </c>
      <c r="S18" s="44">
        <f t="shared" si="26"/>
        <v>0.46370241725339451</v>
      </c>
      <c r="T18" s="44">
        <f t="shared" si="5"/>
        <v>5.5464366724854923E-4</v>
      </c>
      <c r="U18" s="43">
        <v>820.15800000000002</v>
      </c>
      <c r="V18" s="43">
        <v>845.85</v>
      </c>
      <c r="W18" s="45"/>
      <c r="X18" s="45"/>
      <c r="Y18" s="71"/>
      <c r="Z18" s="71"/>
      <c r="AA18" s="45"/>
      <c r="AB18" s="46">
        <f t="shared" si="1"/>
        <v>1.6720732413793098</v>
      </c>
      <c r="AC18" s="46">
        <f t="shared" si="2"/>
        <v>7.944700460829492</v>
      </c>
      <c r="AD18" s="34">
        <f t="shared" si="21"/>
        <v>41.677875119562181</v>
      </c>
      <c r="AE18" s="47">
        <f t="shared" si="3"/>
        <v>2.6099999999999999E-3</v>
      </c>
      <c r="AF18" s="46"/>
      <c r="AG18" s="71">
        <f t="shared" si="7"/>
        <v>42.46126912411782</v>
      </c>
      <c r="AH18" s="70"/>
      <c r="AI18" s="70"/>
      <c r="AJ18" s="36">
        <v>434</v>
      </c>
      <c r="AK18" s="36">
        <v>862</v>
      </c>
      <c r="AL18" s="36">
        <f t="shared" si="47"/>
        <v>0.50348027842227383</v>
      </c>
      <c r="AM18" s="36">
        <f t="shared" si="9"/>
        <v>1.986175115207373</v>
      </c>
      <c r="AN18" s="40">
        <v>0</v>
      </c>
      <c r="AO18" s="40" t="s">
        <v>178</v>
      </c>
      <c r="AP18" s="66"/>
      <c r="AQ18" s="66"/>
      <c r="AR18" s="52"/>
      <c r="AS18" s="52"/>
    </row>
    <row r="19" spans="1:45" s="48" customFormat="1" x14ac:dyDescent="0.3">
      <c r="A19" s="48">
        <v>5134</v>
      </c>
      <c r="B19" s="48" t="s">
        <v>43</v>
      </c>
      <c r="C19" s="48" t="s">
        <v>8</v>
      </c>
      <c r="D19" s="48">
        <v>750</v>
      </c>
      <c r="E19" s="48">
        <f t="shared" si="13"/>
        <v>75</v>
      </c>
      <c r="F19" s="48" t="s">
        <v>12</v>
      </c>
      <c r="G19" s="48" t="s">
        <v>15</v>
      </c>
      <c r="H19" s="48" t="s">
        <v>28</v>
      </c>
      <c r="J19" s="48" t="s">
        <v>79</v>
      </c>
      <c r="K19" s="48" t="s">
        <v>85</v>
      </c>
      <c r="L19" s="49" t="s">
        <v>21</v>
      </c>
      <c r="M19" s="49">
        <v>1</v>
      </c>
      <c r="N19" s="49">
        <v>1</v>
      </c>
      <c r="O19" s="49">
        <v>40</v>
      </c>
      <c r="P19" s="7">
        <v>782</v>
      </c>
      <c r="Q19" s="8">
        <v>16</v>
      </c>
      <c r="R19" s="27">
        <f t="shared" si="4"/>
        <v>2.7947938478423218E-3</v>
      </c>
      <c r="S19" s="27">
        <f t="shared" si="26"/>
        <v>2.1855287890126958</v>
      </c>
      <c r="T19" s="27">
        <f t="shared" si="5"/>
        <v>2.7947938478423214E-3</v>
      </c>
      <c r="U19" s="8">
        <v>751</v>
      </c>
      <c r="V19" s="8">
        <v>820</v>
      </c>
      <c r="W19" s="20">
        <f>AVERAGE(P19:P20)</f>
        <v>777</v>
      </c>
      <c r="X19" s="20">
        <f>STDEV(P19:P20)</f>
        <v>7.0710678118654755</v>
      </c>
      <c r="Y19" s="72">
        <f>SUM(S19:S20)/SUM(R19:R20)</f>
        <v>776.30141237250245</v>
      </c>
      <c r="Z19" s="72">
        <f>SQRT(1/SUM(R19:R20))</f>
        <v>12.405967831097888</v>
      </c>
      <c r="AA19" s="20"/>
      <c r="AB19" s="50">
        <f t="shared" si="1"/>
        <v>1.5640000000000001</v>
      </c>
      <c r="AC19" s="50">
        <f t="shared" si="2"/>
        <v>9.9680511182108624</v>
      </c>
      <c r="AD19" s="50">
        <f t="shared" ref="AD19:AD44" si="48">Q19</f>
        <v>16</v>
      </c>
      <c r="AE19" s="51">
        <f t="shared" si="3"/>
        <v>2.2499999999999998E-3</v>
      </c>
      <c r="AF19" s="50"/>
      <c r="AG19" s="72">
        <f t="shared" si="7"/>
        <v>18.915817300813753</v>
      </c>
      <c r="AH19" s="72"/>
      <c r="AI19" s="72"/>
      <c r="AJ19" s="48">
        <v>313</v>
      </c>
      <c r="AK19" s="48">
        <v>780</v>
      </c>
      <c r="AL19" s="48">
        <f t="shared" ref="AL19:AL32" si="49">AJ19/AK19</f>
        <v>0.4012820512820513</v>
      </c>
      <c r="AM19" s="48">
        <f t="shared" si="9"/>
        <v>2.4920127795527156</v>
      </c>
      <c r="AN19" s="48">
        <v>1</v>
      </c>
      <c r="AO19" s="36" t="s">
        <v>180</v>
      </c>
      <c r="AP19" s="67" t="s">
        <v>181</v>
      </c>
      <c r="AQ19" s="67"/>
      <c r="AR19" s="68"/>
      <c r="AS19" s="68"/>
    </row>
    <row r="20" spans="1:45" s="40" customFormat="1" ht="15" thickBot="1" x14ac:dyDescent="0.35">
      <c r="A20" s="40">
        <v>5134</v>
      </c>
      <c r="B20" s="40" t="s">
        <v>47</v>
      </c>
      <c r="C20" s="40" t="s">
        <v>8</v>
      </c>
      <c r="D20" s="40">
        <v>750</v>
      </c>
      <c r="E20" s="40">
        <f t="shared" si="13"/>
        <v>75</v>
      </c>
      <c r="F20" s="40" t="s">
        <v>12</v>
      </c>
      <c r="G20" s="40" t="s">
        <v>15</v>
      </c>
      <c r="H20" s="40" t="s">
        <v>28</v>
      </c>
      <c r="J20" s="40" t="s">
        <v>79</v>
      </c>
      <c r="K20" s="40" t="s">
        <v>85</v>
      </c>
      <c r="L20" s="41" t="s">
        <v>21</v>
      </c>
      <c r="M20" s="41">
        <v>1</v>
      </c>
      <c r="N20" s="41">
        <v>1</v>
      </c>
      <c r="O20" s="41">
        <v>40</v>
      </c>
      <c r="P20" s="42">
        <v>772</v>
      </c>
      <c r="Q20" s="43">
        <v>13</v>
      </c>
      <c r="R20" s="44">
        <f t="shared" si="4"/>
        <v>3.7025926052876587E-3</v>
      </c>
      <c r="S20" s="44">
        <f t="shared" si="26"/>
        <v>2.8584014912820725</v>
      </c>
      <c r="T20" s="44">
        <f t="shared" si="5"/>
        <v>3.7025926052876587E-3</v>
      </c>
      <c r="U20" s="43">
        <v>754</v>
      </c>
      <c r="V20" s="43">
        <v>818</v>
      </c>
      <c r="W20" s="45"/>
      <c r="X20" s="45"/>
      <c r="Y20" s="71"/>
      <c r="Z20" s="71"/>
      <c r="AA20" s="45"/>
      <c r="AB20" s="46">
        <f t="shared" si="1"/>
        <v>1.544</v>
      </c>
      <c r="AC20" s="46">
        <f t="shared" si="2"/>
        <v>9.9346405228758172</v>
      </c>
      <c r="AD20" s="46">
        <f t="shared" si="48"/>
        <v>13</v>
      </c>
      <c r="AE20" s="47">
        <f t="shared" si="3"/>
        <v>2.2499999999999998E-3</v>
      </c>
      <c r="AF20" s="46"/>
      <c r="AG20" s="71">
        <f t="shared" si="7"/>
        <v>16.434142003197682</v>
      </c>
      <c r="AH20" s="71"/>
      <c r="AI20" s="71"/>
      <c r="AJ20" s="40">
        <v>306</v>
      </c>
      <c r="AK20" s="40">
        <v>760</v>
      </c>
      <c r="AL20" s="40">
        <f t="shared" si="49"/>
        <v>0.4026315789473684</v>
      </c>
      <c r="AM20" s="40">
        <f t="shared" si="9"/>
        <v>2.4836601307189543</v>
      </c>
      <c r="AN20" s="40">
        <v>1</v>
      </c>
      <c r="AO20" s="40" t="s">
        <v>180</v>
      </c>
      <c r="AP20" s="66"/>
      <c r="AQ20" s="66"/>
      <c r="AR20" s="52"/>
      <c r="AS20" s="52"/>
    </row>
    <row r="21" spans="1:45" s="36" customFormat="1" x14ac:dyDescent="0.3">
      <c r="A21" s="36">
        <v>7028</v>
      </c>
      <c r="B21" s="36" t="s">
        <v>14</v>
      </c>
      <c r="C21" s="36" t="s">
        <v>8</v>
      </c>
      <c r="D21" s="36">
        <v>625</v>
      </c>
      <c r="E21" s="36">
        <f>0.1*D21</f>
        <v>62.5</v>
      </c>
      <c r="F21" s="36" t="s">
        <v>12</v>
      </c>
      <c r="G21" s="36" t="s">
        <v>15</v>
      </c>
      <c r="H21" s="36" t="s">
        <v>28</v>
      </c>
      <c r="J21" s="36" t="s">
        <v>79</v>
      </c>
      <c r="K21" s="36" t="s">
        <v>86</v>
      </c>
      <c r="L21" s="37" t="s">
        <v>39</v>
      </c>
      <c r="M21" s="37">
        <v>1</v>
      </c>
      <c r="N21" s="37">
        <v>1</v>
      </c>
      <c r="O21" s="37">
        <v>38</v>
      </c>
      <c r="P21" s="9">
        <v>539</v>
      </c>
      <c r="Q21" s="10">
        <v>12</v>
      </c>
      <c r="R21" s="28">
        <f t="shared" si="4"/>
        <v>2.3979437100906079E-3</v>
      </c>
      <c r="S21" s="28">
        <f t="shared" si="26"/>
        <v>1.2924916597388376</v>
      </c>
      <c r="T21" s="28">
        <f t="shared" si="5"/>
        <v>2.3979437100906079E-3</v>
      </c>
      <c r="U21" s="10">
        <v>513</v>
      </c>
      <c r="V21" s="10">
        <v>574</v>
      </c>
      <c r="W21" s="21">
        <f>AVERAGE(P21:P23)</f>
        <v>555.66666666666663</v>
      </c>
      <c r="X21" s="21">
        <f>STDEV(P21:P23)</f>
        <v>18.77054430040145</v>
      </c>
      <c r="Y21" s="70">
        <f>SUM(S21:S23)/SUM(R21:R23)</f>
        <v>555.66278502069542</v>
      </c>
      <c r="Z21" s="70">
        <f>SQRT(1/SUM(R21:R23))</f>
        <v>11.789010757915598</v>
      </c>
      <c r="AA21" s="21"/>
      <c r="AB21" s="38">
        <f t="shared" si="1"/>
        <v>1.0780000000000001</v>
      </c>
      <c r="AC21" s="38">
        <f t="shared" si="2"/>
        <v>7.9704797047970475</v>
      </c>
      <c r="AD21" s="38">
        <f>$X$21</f>
        <v>18.77054430040145</v>
      </c>
      <c r="AE21" s="39">
        <f t="shared" si="3"/>
        <v>1.8749999999999999E-3</v>
      </c>
      <c r="AF21" s="38"/>
      <c r="AG21" s="70">
        <f t="shared" si="7"/>
        <v>20.421164696792886</v>
      </c>
      <c r="AH21" s="70"/>
      <c r="AI21" s="70"/>
      <c r="AJ21" s="36">
        <v>271</v>
      </c>
      <c r="AK21" s="36">
        <v>540</v>
      </c>
      <c r="AL21" s="36">
        <f t="shared" si="49"/>
        <v>0.50185185185185188</v>
      </c>
      <c r="AM21" s="36">
        <f t="shared" si="9"/>
        <v>1.9926199261992619</v>
      </c>
      <c r="AO21" s="36" t="s">
        <v>184</v>
      </c>
      <c r="AP21" s="64" t="s">
        <v>182</v>
      </c>
      <c r="AQ21" s="64"/>
      <c r="AR21" s="65"/>
      <c r="AS21" s="65"/>
    </row>
    <row r="22" spans="1:45" s="36" customFormat="1" x14ac:dyDescent="0.3">
      <c r="A22" s="36">
        <v>7028</v>
      </c>
      <c r="B22" s="36" t="s">
        <v>42</v>
      </c>
      <c r="C22" s="36" t="s">
        <v>8</v>
      </c>
      <c r="D22" s="36">
        <v>625</v>
      </c>
      <c r="E22" s="36">
        <f t="shared" ref="E22:E23" si="50">0.1*D22</f>
        <v>62.5</v>
      </c>
      <c r="F22" s="36" t="s">
        <v>12</v>
      </c>
      <c r="G22" s="36" t="s">
        <v>15</v>
      </c>
      <c r="H22" s="36" t="s">
        <v>28</v>
      </c>
      <c r="J22" s="36" t="s">
        <v>79</v>
      </c>
      <c r="K22" s="36" t="s">
        <v>87</v>
      </c>
      <c r="L22" s="37" t="s">
        <v>39</v>
      </c>
      <c r="M22" s="37">
        <v>1</v>
      </c>
      <c r="N22" s="37">
        <v>1</v>
      </c>
      <c r="O22" s="37">
        <v>23</v>
      </c>
      <c r="P22" s="9">
        <v>576</v>
      </c>
      <c r="Q22" s="10">
        <v>13</v>
      </c>
      <c r="R22" s="28">
        <f t="shared" si="4"/>
        <v>2.3969951983061986E-3</v>
      </c>
      <c r="S22" s="28">
        <f t="shared" si="26"/>
        <v>1.3806692342243703</v>
      </c>
      <c r="T22" s="28">
        <f t="shared" si="5"/>
        <v>2.3969951983061986E-3</v>
      </c>
      <c r="U22" s="10">
        <v>557</v>
      </c>
      <c r="V22" s="10">
        <v>606</v>
      </c>
      <c r="W22" s="21"/>
      <c r="X22" s="21"/>
      <c r="Y22" s="70"/>
      <c r="Z22" s="70"/>
      <c r="AA22" s="21"/>
      <c r="AB22" s="38">
        <f t="shared" si="1"/>
        <v>1.1520000000000001</v>
      </c>
      <c r="AC22" s="38">
        <f t="shared" si="2"/>
        <v>7.9704797047970475</v>
      </c>
      <c r="AD22" s="38">
        <f t="shared" ref="AD22:AD23" si="51">$X$21</f>
        <v>18.77054430040145</v>
      </c>
      <c r="AE22" s="39">
        <f t="shared" si="3"/>
        <v>1.8749999999999999E-3</v>
      </c>
      <c r="AF22" s="38"/>
      <c r="AG22" s="70">
        <f t="shared" si="7"/>
        <v>20.425204713136662</v>
      </c>
      <c r="AH22" s="70"/>
      <c r="AI22" s="70"/>
      <c r="AJ22" s="36">
        <v>271</v>
      </c>
      <c r="AK22" s="36">
        <v>540</v>
      </c>
      <c r="AL22" s="36">
        <f t="shared" si="49"/>
        <v>0.50185185185185188</v>
      </c>
      <c r="AM22" s="36">
        <f t="shared" si="9"/>
        <v>1.9926199261992619</v>
      </c>
      <c r="AO22" s="36" t="s">
        <v>185</v>
      </c>
      <c r="AP22" s="64"/>
      <c r="AQ22" s="64"/>
      <c r="AR22" s="65"/>
      <c r="AS22" s="65"/>
    </row>
    <row r="23" spans="1:45" s="40" customFormat="1" ht="15" thickBot="1" x14ac:dyDescent="0.35">
      <c r="A23" s="40">
        <v>7028</v>
      </c>
      <c r="B23" s="40" t="s">
        <v>43</v>
      </c>
      <c r="C23" s="40" t="s">
        <v>8</v>
      </c>
      <c r="D23" s="40">
        <v>625</v>
      </c>
      <c r="E23" s="40">
        <f t="shared" si="50"/>
        <v>62.5</v>
      </c>
      <c r="F23" s="40" t="s">
        <v>12</v>
      </c>
      <c r="G23" s="40" t="s">
        <v>15</v>
      </c>
      <c r="H23" s="40" t="s">
        <v>28</v>
      </c>
      <c r="J23" s="40" t="s">
        <v>79</v>
      </c>
      <c r="K23" s="40" t="s">
        <v>87</v>
      </c>
      <c r="L23" s="41" t="s">
        <v>39</v>
      </c>
      <c r="M23" s="41">
        <v>1</v>
      </c>
      <c r="N23" s="41">
        <v>1</v>
      </c>
      <c r="O23" s="41">
        <v>39</v>
      </c>
      <c r="P23" s="42">
        <v>552</v>
      </c>
      <c r="Q23" s="43">
        <v>14</v>
      </c>
      <c r="R23" s="44">
        <f t="shared" si="4"/>
        <v>2.4003008829810821E-3</v>
      </c>
      <c r="S23" s="44">
        <f t="shared" si="26"/>
        <v>1.3249660874055573</v>
      </c>
      <c r="T23" s="44">
        <f t="shared" si="5"/>
        <v>2.4003008829810821E-3</v>
      </c>
      <c r="U23" s="43">
        <v>529</v>
      </c>
      <c r="V23" s="43">
        <v>584</v>
      </c>
      <c r="W23" s="45"/>
      <c r="X23" s="45"/>
      <c r="Y23" s="71"/>
      <c r="Z23" s="71"/>
      <c r="AA23" s="45"/>
      <c r="AB23" s="46">
        <f t="shared" si="1"/>
        <v>1.1040000000000001</v>
      </c>
      <c r="AC23" s="46">
        <f t="shared" si="2"/>
        <v>7.9411764705882364</v>
      </c>
      <c r="AD23" s="38">
        <f t="shared" si="51"/>
        <v>18.77054430040145</v>
      </c>
      <c r="AE23" s="47">
        <f t="shared" si="3"/>
        <v>1.8749999999999999E-3</v>
      </c>
      <c r="AF23" s="46"/>
      <c r="AG23" s="71">
        <f t="shared" si="7"/>
        <v>20.41113511262866</v>
      </c>
      <c r="AH23" s="71"/>
      <c r="AI23" s="71"/>
      <c r="AJ23" s="40">
        <v>272</v>
      </c>
      <c r="AK23" s="40">
        <v>540</v>
      </c>
      <c r="AL23" s="40">
        <f t="shared" si="49"/>
        <v>0.50370370370370365</v>
      </c>
      <c r="AM23" s="40">
        <f t="shared" si="9"/>
        <v>1.9852941176470591</v>
      </c>
      <c r="AO23" s="40" t="s">
        <v>183</v>
      </c>
      <c r="AP23" s="66"/>
      <c r="AQ23" s="66"/>
      <c r="AR23" s="52"/>
      <c r="AS23" s="52"/>
    </row>
    <row r="24" spans="1:45" x14ac:dyDescent="0.3">
      <c r="A24" s="1">
        <v>5275</v>
      </c>
      <c r="B24" s="1" t="s">
        <v>50</v>
      </c>
      <c r="C24" s="1" t="s">
        <v>9</v>
      </c>
      <c r="D24" s="1">
        <v>500</v>
      </c>
      <c r="E24" s="1">
        <f>0.1*D24</f>
        <v>50</v>
      </c>
      <c r="F24" s="1" t="s">
        <v>12</v>
      </c>
      <c r="G24" s="1" t="s">
        <v>15</v>
      </c>
      <c r="H24" s="1" t="s">
        <v>28</v>
      </c>
      <c r="J24" s="1" t="s">
        <v>59</v>
      </c>
      <c r="K24" s="1" t="s">
        <v>68</v>
      </c>
      <c r="L24" s="5" t="s">
        <v>66</v>
      </c>
      <c r="M24" s="5">
        <v>1</v>
      </c>
      <c r="N24" s="5">
        <v>1</v>
      </c>
      <c r="O24" s="5">
        <v>39</v>
      </c>
      <c r="P24" s="9">
        <v>508</v>
      </c>
      <c r="Q24" s="10">
        <v>7</v>
      </c>
      <c r="R24" s="28">
        <f t="shared" si="4"/>
        <v>1.0785109278425807E-3</v>
      </c>
      <c r="S24" s="28">
        <f t="shared" si="26"/>
        <v>0.54788355134403099</v>
      </c>
      <c r="T24" s="28">
        <f t="shared" si="5"/>
        <v>1.078510927842581E-3</v>
      </c>
      <c r="U24" s="10">
        <v>495</v>
      </c>
      <c r="V24" s="10">
        <v>527</v>
      </c>
      <c r="W24" s="21">
        <f>AVERAGE(P24:P32)</f>
        <v>481.969696969697</v>
      </c>
      <c r="X24" s="21">
        <f>STDEV(P24:P32)</f>
        <v>29.37236008886725</v>
      </c>
      <c r="Y24" s="70">
        <f>SUM(S24:S32)/SUM(R24:R32)</f>
        <v>482.0016646012993</v>
      </c>
      <c r="Z24" s="70">
        <f>SQRT(1/SUM(R24:R32))</f>
        <v>10.191413448330662</v>
      </c>
      <c r="AB24" s="34">
        <f t="shared" si="1"/>
        <v>1.016</v>
      </c>
      <c r="AC24" s="34">
        <f t="shared" si="2"/>
        <v>7.9647054230273699</v>
      </c>
      <c r="AD24" s="34">
        <f>$X$24</f>
        <v>29.37236008886725</v>
      </c>
      <c r="AE24" s="35">
        <f t="shared" si="3"/>
        <v>1.5E-3</v>
      </c>
      <c r="AG24" s="69">
        <f t="shared" si="7"/>
        <v>30.450030015021056</v>
      </c>
      <c r="AJ24" s="3">
        <v>256.13</v>
      </c>
      <c r="AK24" s="3">
        <v>510</v>
      </c>
      <c r="AL24" s="1">
        <f t="shared" si="49"/>
        <v>0.50221568627450974</v>
      </c>
      <c r="AM24" s="1">
        <f t="shared" si="9"/>
        <v>1.9911763557568425</v>
      </c>
      <c r="AO24" s="1" t="s">
        <v>57</v>
      </c>
    </row>
    <row r="25" spans="1:45" x14ac:dyDescent="0.3">
      <c r="A25" s="1">
        <v>5275</v>
      </c>
      <c r="B25" s="1" t="s">
        <v>51</v>
      </c>
      <c r="C25" s="1" t="s">
        <v>9</v>
      </c>
      <c r="D25" s="1">
        <v>500</v>
      </c>
      <c r="E25" s="1">
        <f t="shared" ref="E25:E32" si="52">0.1*D25</f>
        <v>50</v>
      </c>
      <c r="F25" s="1" t="s">
        <v>12</v>
      </c>
      <c r="G25" s="1" t="s">
        <v>15</v>
      </c>
      <c r="H25" s="1" t="s">
        <v>28</v>
      </c>
      <c r="J25" s="1" t="s">
        <v>59</v>
      </c>
      <c r="K25" s="1" t="s">
        <v>68</v>
      </c>
      <c r="L25" s="5" t="s">
        <v>66</v>
      </c>
      <c r="M25" s="5">
        <v>1</v>
      </c>
      <c r="N25" s="5">
        <v>2</v>
      </c>
      <c r="O25" s="5">
        <v>11</v>
      </c>
      <c r="P25" s="9">
        <v>430.7272727272728</v>
      </c>
      <c r="Q25" s="10">
        <v>5.2362373722150775</v>
      </c>
      <c r="R25" s="28">
        <f t="shared" si="4"/>
        <v>1.0784898962067043E-3</v>
      </c>
      <c r="S25" s="28">
        <f t="shared" si="26"/>
        <v>0.46453501165703326</v>
      </c>
      <c r="T25" s="28">
        <f t="shared" si="5"/>
        <v>1.0784898962067043E-3</v>
      </c>
      <c r="U25" s="10">
        <v>422</v>
      </c>
      <c r="V25" s="10">
        <v>440</v>
      </c>
      <c r="AB25" s="34">
        <f t="shared" si="1"/>
        <v>0.86145454545454558</v>
      </c>
      <c r="AC25" s="34">
        <f t="shared" si="2"/>
        <v>7.9840319361277441</v>
      </c>
      <c r="AD25" s="34">
        <f t="shared" ref="AD25:AD32" si="53">$X$24</f>
        <v>29.37236008886725</v>
      </c>
      <c r="AE25" s="35">
        <f t="shared" si="3"/>
        <v>1.5E-3</v>
      </c>
      <c r="AG25" s="69">
        <f t="shared" si="7"/>
        <v>30.450326916653516</v>
      </c>
      <c r="AJ25" s="3">
        <v>215.43</v>
      </c>
      <c r="AK25" s="3">
        <v>430</v>
      </c>
      <c r="AL25" s="1">
        <f t="shared" si="49"/>
        <v>0.501</v>
      </c>
      <c r="AM25" s="1">
        <f t="shared" si="9"/>
        <v>1.996007984031936</v>
      </c>
      <c r="AO25" s="1" t="s">
        <v>57</v>
      </c>
    </row>
    <row r="26" spans="1:45" x14ac:dyDescent="0.3">
      <c r="A26" s="1">
        <v>5275</v>
      </c>
      <c r="B26" s="1" t="s">
        <v>30</v>
      </c>
      <c r="C26" s="1" t="s">
        <v>9</v>
      </c>
      <c r="D26" s="1">
        <v>500</v>
      </c>
      <c r="E26" s="1">
        <f t="shared" si="52"/>
        <v>50</v>
      </c>
      <c r="F26" s="1" t="s">
        <v>12</v>
      </c>
      <c r="G26" s="1" t="s">
        <v>15</v>
      </c>
      <c r="H26" s="1" t="s">
        <v>28</v>
      </c>
      <c r="J26" s="1" t="s">
        <v>59</v>
      </c>
      <c r="K26" s="1" t="s">
        <v>68</v>
      </c>
      <c r="L26" s="5" t="s">
        <v>66</v>
      </c>
      <c r="M26" s="5">
        <v>1</v>
      </c>
      <c r="N26" s="5">
        <v>1</v>
      </c>
      <c r="O26" s="5">
        <v>16</v>
      </c>
      <c r="P26" s="9">
        <v>465</v>
      </c>
      <c r="Q26" s="10">
        <v>8</v>
      </c>
      <c r="R26" s="28">
        <f t="shared" si="4"/>
        <v>1.0788911332065046E-3</v>
      </c>
      <c r="S26" s="28">
        <f t="shared" si="26"/>
        <v>0.50168437694102463</v>
      </c>
      <c r="T26" s="28">
        <f t="shared" si="5"/>
        <v>1.0788911332065046E-3</v>
      </c>
      <c r="U26" s="10">
        <v>449</v>
      </c>
      <c r="V26" s="10">
        <v>480</v>
      </c>
      <c r="AB26" s="34">
        <f t="shared" si="1"/>
        <v>0.93</v>
      </c>
      <c r="AC26" s="34">
        <f t="shared" si="2"/>
        <v>7.9546928364532441</v>
      </c>
      <c r="AD26" s="34">
        <f t="shared" si="53"/>
        <v>29.37236008886725</v>
      </c>
      <c r="AE26" s="35">
        <f t="shared" si="3"/>
        <v>1.5E-3</v>
      </c>
      <c r="AG26" s="69">
        <f t="shared" si="7"/>
        <v>30.444664188694908</v>
      </c>
      <c r="AJ26" s="3">
        <v>231.31</v>
      </c>
      <c r="AK26" s="3">
        <v>460</v>
      </c>
      <c r="AL26" s="1">
        <f t="shared" si="49"/>
        <v>0.50284782608695655</v>
      </c>
      <c r="AM26" s="1">
        <f t="shared" si="9"/>
        <v>1.988673209113311</v>
      </c>
      <c r="AO26" s="1" t="s">
        <v>57</v>
      </c>
    </row>
    <row r="27" spans="1:45" x14ac:dyDescent="0.3">
      <c r="A27" s="1">
        <v>5275</v>
      </c>
      <c r="B27" s="1" t="s">
        <v>52</v>
      </c>
      <c r="C27" s="1" t="s">
        <v>9</v>
      </c>
      <c r="D27" s="1">
        <v>500</v>
      </c>
      <c r="E27" s="1">
        <f t="shared" si="52"/>
        <v>50</v>
      </c>
      <c r="F27" s="1" t="s">
        <v>12</v>
      </c>
      <c r="G27" s="1" t="s">
        <v>15</v>
      </c>
      <c r="H27" s="1" t="s">
        <v>28</v>
      </c>
      <c r="J27" s="1" t="s">
        <v>59</v>
      </c>
      <c r="K27" s="1" t="s">
        <v>68</v>
      </c>
      <c r="L27" s="5" t="s">
        <v>66</v>
      </c>
      <c r="M27" s="5">
        <v>1</v>
      </c>
      <c r="N27" s="5">
        <v>2</v>
      </c>
      <c r="O27" s="5">
        <v>20</v>
      </c>
      <c r="P27" s="9">
        <v>463</v>
      </c>
      <c r="Q27" s="10">
        <v>8</v>
      </c>
      <c r="R27" s="28">
        <f t="shared" si="4"/>
        <v>1.0806905401262539E-3</v>
      </c>
      <c r="S27" s="28">
        <f t="shared" si="26"/>
        <v>0.50035972007845553</v>
      </c>
      <c r="T27" s="28">
        <f t="shared" si="5"/>
        <v>1.0806905401262539E-3</v>
      </c>
      <c r="U27" s="10">
        <v>443</v>
      </c>
      <c r="V27" s="10">
        <v>483</v>
      </c>
      <c r="AB27" s="34">
        <f t="shared" si="1"/>
        <v>0.92600000000000005</v>
      </c>
      <c r="AC27" s="34">
        <f t="shared" si="2"/>
        <v>7.8575608125052252</v>
      </c>
      <c r="AD27" s="34">
        <f t="shared" si="53"/>
        <v>29.37236008886725</v>
      </c>
      <c r="AE27" s="35">
        <f t="shared" si="3"/>
        <v>1.5E-3</v>
      </c>
      <c r="AG27" s="69">
        <f t="shared" si="7"/>
        <v>30.419307641073939</v>
      </c>
      <c r="AJ27" s="3">
        <v>239.26</v>
      </c>
      <c r="AK27" s="3">
        <v>470</v>
      </c>
      <c r="AL27" s="1">
        <f t="shared" si="49"/>
        <v>0.50906382978723397</v>
      </c>
      <c r="AM27" s="1">
        <f t="shared" si="9"/>
        <v>1.9643902031263063</v>
      </c>
      <c r="AO27" s="1" t="s">
        <v>55</v>
      </c>
    </row>
    <row r="28" spans="1:45" x14ac:dyDescent="0.3">
      <c r="A28" s="1">
        <v>5275</v>
      </c>
      <c r="B28" s="1" t="s">
        <v>14</v>
      </c>
      <c r="C28" s="1" t="s">
        <v>9</v>
      </c>
      <c r="D28" s="1">
        <v>500</v>
      </c>
      <c r="E28" s="1">
        <f t="shared" si="52"/>
        <v>50</v>
      </c>
      <c r="F28" s="1" t="s">
        <v>12</v>
      </c>
      <c r="G28" s="1" t="s">
        <v>44</v>
      </c>
      <c r="H28" s="1" t="s">
        <v>28</v>
      </c>
      <c r="J28" s="1" t="s">
        <v>59</v>
      </c>
      <c r="K28" s="1" t="s">
        <v>69</v>
      </c>
      <c r="L28" s="5" t="s">
        <v>66</v>
      </c>
      <c r="M28" s="5">
        <v>1</v>
      </c>
      <c r="N28" s="5">
        <v>1</v>
      </c>
      <c r="O28" s="5">
        <v>41</v>
      </c>
      <c r="P28" s="9">
        <v>534</v>
      </c>
      <c r="Q28" s="10">
        <v>6</v>
      </c>
      <c r="R28" s="28">
        <f t="shared" si="4"/>
        <v>1.0777087810878514E-3</v>
      </c>
      <c r="S28" s="28">
        <f t="shared" si="26"/>
        <v>0.57549648910091267</v>
      </c>
      <c r="T28" s="28">
        <f t="shared" si="5"/>
        <v>1.0777087810878512E-3</v>
      </c>
      <c r="U28" s="10">
        <v>524</v>
      </c>
      <c r="V28" s="10">
        <v>555</v>
      </c>
      <c r="AB28" s="34">
        <f t="shared" si="1"/>
        <v>1.0680000000000001</v>
      </c>
      <c r="AC28" s="34">
        <f t="shared" si="2"/>
        <v>8.0011430204314902</v>
      </c>
      <c r="AD28" s="34">
        <f t="shared" si="53"/>
        <v>29.37236008886725</v>
      </c>
      <c r="AE28" s="35">
        <f t="shared" si="3"/>
        <v>1.5E-3</v>
      </c>
      <c r="AG28" s="69">
        <f t="shared" si="7"/>
        <v>30.461360000391991</v>
      </c>
      <c r="AJ28" s="3">
        <v>279.95999999999998</v>
      </c>
      <c r="AK28" s="3">
        <v>560</v>
      </c>
      <c r="AL28" s="1">
        <f t="shared" si="49"/>
        <v>0.49992857142857139</v>
      </c>
      <c r="AM28" s="1">
        <f t="shared" si="9"/>
        <v>2.0002857551078725</v>
      </c>
      <c r="AO28" s="1" t="s">
        <v>58</v>
      </c>
    </row>
    <row r="29" spans="1:45" x14ac:dyDescent="0.3">
      <c r="A29" s="1">
        <v>5275</v>
      </c>
      <c r="B29" s="1" t="s">
        <v>53</v>
      </c>
      <c r="C29" s="1" t="s">
        <v>9</v>
      </c>
      <c r="D29" s="1">
        <v>500</v>
      </c>
      <c r="E29" s="1">
        <f t="shared" ref="E29" si="54">0.1*D29</f>
        <v>50</v>
      </c>
      <c r="F29" s="1" t="s">
        <v>12</v>
      </c>
      <c r="G29" s="1" t="s">
        <v>44</v>
      </c>
      <c r="H29" s="1" t="s">
        <v>28</v>
      </c>
      <c r="J29" s="1" t="s">
        <v>59</v>
      </c>
      <c r="K29" s="1" t="s">
        <v>69</v>
      </c>
      <c r="L29" s="5" t="s">
        <v>66</v>
      </c>
      <c r="M29" s="5">
        <v>1</v>
      </c>
      <c r="N29" s="5">
        <v>2</v>
      </c>
      <c r="O29" s="5">
        <v>41</v>
      </c>
      <c r="P29" s="9">
        <v>494</v>
      </c>
      <c r="Q29" s="10">
        <v>8</v>
      </c>
      <c r="R29" s="28">
        <f t="shared" si="4"/>
        <v>1.0786127223772106E-3</v>
      </c>
      <c r="S29" s="28">
        <f t="shared" si="26"/>
        <v>0.53283468485434204</v>
      </c>
      <c r="T29" s="28">
        <f t="shared" si="5"/>
        <v>1.0786127223772106E-3</v>
      </c>
      <c r="U29" s="10">
        <v>472</v>
      </c>
      <c r="V29" s="10">
        <v>508</v>
      </c>
      <c r="AB29" s="34">
        <f t="shared" si="1"/>
        <v>0.98799999999999999</v>
      </c>
      <c r="AC29" s="34">
        <f t="shared" si="2"/>
        <v>7.9627344029939877</v>
      </c>
      <c r="AD29" s="34">
        <f t="shared" si="53"/>
        <v>29.37236008886725</v>
      </c>
      <c r="AE29" s="35">
        <f t="shared" si="3"/>
        <v>1.5E-3</v>
      </c>
      <c r="AG29" s="69">
        <f t="shared" si="7"/>
        <v>30.448593113848556</v>
      </c>
      <c r="AJ29" s="3">
        <v>251.17</v>
      </c>
      <c r="AK29" s="3">
        <v>500</v>
      </c>
      <c r="AL29" s="1">
        <f t="shared" si="49"/>
        <v>0.50234000000000001</v>
      </c>
      <c r="AM29" s="1">
        <f t="shared" si="9"/>
        <v>1.9906836007484969</v>
      </c>
      <c r="AO29" s="1" t="s">
        <v>56</v>
      </c>
    </row>
    <row r="30" spans="1:45" x14ac:dyDescent="0.3">
      <c r="A30" s="1">
        <v>5275</v>
      </c>
      <c r="B30" s="1" t="s">
        <v>20</v>
      </c>
      <c r="C30" s="1" t="s">
        <v>9</v>
      </c>
      <c r="D30" s="1">
        <v>500</v>
      </c>
      <c r="E30" s="1">
        <f t="shared" si="52"/>
        <v>50</v>
      </c>
      <c r="F30" s="1" t="s">
        <v>12</v>
      </c>
      <c r="G30" s="1" t="s">
        <v>44</v>
      </c>
      <c r="H30" s="1" t="s">
        <v>28</v>
      </c>
      <c r="J30" s="1" t="s">
        <v>59</v>
      </c>
      <c r="K30" s="1" t="s">
        <v>69</v>
      </c>
      <c r="L30" s="5" t="s">
        <v>70</v>
      </c>
      <c r="M30" s="5">
        <v>1</v>
      </c>
      <c r="N30" s="5">
        <v>1</v>
      </c>
      <c r="O30" s="5">
        <v>37</v>
      </c>
      <c r="P30" s="9">
        <v>477</v>
      </c>
      <c r="Q30" s="10">
        <v>7</v>
      </c>
      <c r="R30" s="28">
        <f t="shared" si="4"/>
        <v>1.0396396527000903E-3</v>
      </c>
      <c r="S30" s="28">
        <f t="shared" si="26"/>
        <v>0.49590811433794307</v>
      </c>
      <c r="T30" s="28">
        <f t="shared" si="5"/>
        <v>1.0396396527000903E-3</v>
      </c>
      <c r="U30" s="10">
        <v>465</v>
      </c>
      <c r="V30" s="10">
        <v>490</v>
      </c>
      <c r="AB30" s="34">
        <f t="shared" si="1"/>
        <v>0.95400000000000007</v>
      </c>
      <c r="AC30" s="34">
        <f t="shared" si="2"/>
        <v>9.9109072697559171</v>
      </c>
      <c r="AD30" s="34">
        <f t="shared" si="53"/>
        <v>29.37236008886725</v>
      </c>
      <c r="AE30" s="35">
        <f t="shared" si="3"/>
        <v>1.5E-3</v>
      </c>
      <c r="AG30" s="69">
        <f t="shared" si="7"/>
        <v>31.014057108830222</v>
      </c>
      <c r="AJ30" s="3">
        <v>189.69</v>
      </c>
      <c r="AK30" s="3">
        <v>470</v>
      </c>
      <c r="AL30" s="1">
        <f t="shared" si="49"/>
        <v>0.40359574468085108</v>
      </c>
      <c r="AM30" s="1">
        <f t="shared" si="9"/>
        <v>2.4777268174389793</v>
      </c>
      <c r="AO30" s="1" t="s">
        <v>60</v>
      </c>
    </row>
    <row r="31" spans="1:45" x14ac:dyDescent="0.3">
      <c r="A31" s="1">
        <v>5275</v>
      </c>
      <c r="B31" s="1" t="s">
        <v>54</v>
      </c>
      <c r="C31" s="1" t="s">
        <v>9</v>
      </c>
      <c r="D31" s="1">
        <v>500</v>
      </c>
      <c r="E31" s="1">
        <f t="shared" si="52"/>
        <v>50</v>
      </c>
      <c r="F31" s="1" t="s">
        <v>12</v>
      </c>
      <c r="G31" s="1" t="s">
        <v>44</v>
      </c>
      <c r="H31" s="1" t="s">
        <v>28</v>
      </c>
      <c r="J31" s="1" t="s">
        <v>59</v>
      </c>
      <c r="K31" s="1" t="s">
        <v>69</v>
      </c>
      <c r="L31" s="5" t="s">
        <v>70</v>
      </c>
      <c r="M31" s="5">
        <v>1</v>
      </c>
      <c r="N31" s="5">
        <v>2</v>
      </c>
      <c r="O31" s="5">
        <v>41</v>
      </c>
      <c r="P31" s="9">
        <v>477</v>
      </c>
      <c r="Q31" s="10">
        <v>10</v>
      </c>
      <c r="R31" s="28">
        <f t="shared" si="4"/>
        <v>1.0372759340220856E-3</v>
      </c>
      <c r="S31" s="28">
        <f t="shared" si="26"/>
        <v>0.49478062052853483</v>
      </c>
      <c r="T31" s="28">
        <f t="shared" si="5"/>
        <v>1.0372759340220856E-3</v>
      </c>
      <c r="U31" s="10">
        <v>456</v>
      </c>
      <c r="V31" s="10">
        <v>500</v>
      </c>
      <c r="AB31" s="34">
        <f t="shared" si="1"/>
        <v>0.95400000000000007</v>
      </c>
      <c r="AC31" s="34">
        <f t="shared" si="2"/>
        <v>10.020876826722338</v>
      </c>
      <c r="AD31" s="34">
        <f t="shared" si="53"/>
        <v>29.37236008886725</v>
      </c>
      <c r="AE31" s="35">
        <f t="shared" si="3"/>
        <v>1.5E-3</v>
      </c>
      <c r="AG31" s="69">
        <f t="shared" si="7"/>
        <v>31.049374032602049</v>
      </c>
      <c r="AJ31" s="3">
        <v>191.6</v>
      </c>
      <c r="AK31" s="3">
        <v>480</v>
      </c>
      <c r="AL31" s="1">
        <f t="shared" si="49"/>
        <v>0.39916666666666667</v>
      </c>
      <c r="AM31" s="1">
        <f t="shared" si="9"/>
        <v>2.5052192066805845</v>
      </c>
      <c r="AO31" s="1" t="s">
        <v>56</v>
      </c>
    </row>
    <row r="32" spans="1:45" s="40" customFormat="1" ht="15" thickBot="1" x14ac:dyDescent="0.35">
      <c r="A32" s="40">
        <v>5275</v>
      </c>
      <c r="B32" s="40" t="s">
        <v>47</v>
      </c>
      <c r="C32" s="40" t="s">
        <v>9</v>
      </c>
      <c r="D32" s="40">
        <v>500</v>
      </c>
      <c r="E32" s="40">
        <f t="shared" si="52"/>
        <v>50</v>
      </c>
      <c r="F32" s="40" t="s">
        <v>12</v>
      </c>
      <c r="G32" s="40" t="s">
        <v>44</v>
      </c>
      <c r="H32" s="40" t="s">
        <v>28</v>
      </c>
      <c r="J32" s="40" t="s">
        <v>62</v>
      </c>
      <c r="K32" s="40" t="s">
        <v>71</v>
      </c>
      <c r="L32" s="41" t="s">
        <v>66</v>
      </c>
      <c r="M32" s="41">
        <v>1</v>
      </c>
      <c r="N32" s="41">
        <v>1</v>
      </c>
      <c r="O32" s="41">
        <v>38</v>
      </c>
      <c r="P32" s="42">
        <v>489</v>
      </c>
      <c r="Q32" s="43">
        <v>6</v>
      </c>
      <c r="R32" s="44">
        <f t="shared" si="4"/>
        <v>1.078071280823812E-3</v>
      </c>
      <c r="S32" s="44">
        <f t="shared" si="26"/>
        <v>0.52717685632284406</v>
      </c>
      <c r="T32" s="44">
        <f t="shared" si="5"/>
        <v>1.078071280823812E-3</v>
      </c>
      <c r="U32" s="43">
        <v>469</v>
      </c>
      <c r="V32" s="43">
        <v>500</v>
      </c>
      <c r="W32" s="45"/>
      <c r="X32" s="45"/>
      <c r="Y32" s="71"/>
      <c r="Z32" s="71"/>
      <c r="AA32" s="45"/>
      <c r="AB32" s="46">
        <f t="shared" si="1"/>
        <v>0.97799999999999998</v>
      </c>
      <c r="AC32" s="46">
        <f t="shared" si="2"/>
        <v>7.993148729660291</v>
      </c>
      <c r="AD32" s="34">
        <f t="shared" si="53"/>
        <v>29.37236008886725</v>
      </c>
      <c r="AE32" s="47">
        <f t="shared" si="3"/>
        <v>1.5E-3</v>
      </c>
      <c r="AF32" s="46"/>
      <c r="AG32" s="71">
        <f t="shared" si="7"/>
        <v>30.456238278135263</v>
      </c>
      <c r="AH32" s="71"/>
      <c r="AI32" s="71"/>
      <c r="AJ32" s="52">
        <v>245.21</v>
      </c>
      <c r="AK32" s="52">
        <v>490</v>
      </c>
      <c r="AL32" s="40">
        <f t="shared" si="49"/>
        <v>0.50042857142857144</v>
      </c>
      <c r="AM32" s="40">
        <f t="shared" si="9"/>
        <v>1.9982871824150727</v>
      </c>
      <c r="AO32" s="40" t="s">
        <v>64</v>
      </c>
      <c r="AP32" s="66"/>
      <c r="AQ32" s="66"/>
      <c r="AR32" s="52"/>
      <c r="AS32" s="52"/>
    </row>
    <row r="33" spans="1:45" x14ac:dyDescent="0.3">
      <c r="A33" s="1">
        <v>5613</v>
      </c>
      <c r="B33" s="1" t="s">
        <v>91</v>
      </c>
      <c r="C33" s="1" t="s">
        <v>10</v>
      </c>
      <c r="D33" s="1">
        <v>355</v>
      </c>
      <c r="E33" s="1">
        <f t="shared" ref="E33:E37" si="55">0.1*D33</f>
        <v>35.5</v>
      </c>
      <c r="F33" s="1" t="s">
        <v>12</v>
      </c>
      <c r="G33" s="1" t="s">
        <v>15</v>
      </c>
      <c r="H33" s="1" t="s">
        <v>28</v>
      </c>
      <c r="J33" s="1" t="s">
        <v>62</v>
      </c>
      <c r="K33" s="1" t="s">
        <v>97</v>
      </c>
      <c r="L33" s="5" t="s">
        <v>39</v>
      </c>
      <c r="M33" s="5">
        <v>1</v>
      </c>
      <c r="N33" s="5">
        <v>1</v>
      </c>
      <c r="O33" s="4">
        <v>20</v>
      </c>
      <c r="P33" s="13">
        <v>361</v>
      </c>
      <c r="Q33" s="14">
        <v>18</v>
      </c>
      <c r="R33" s="28">
        <f t="shared" si="4"/>
        <v>3.3690275591212993E-3</v>
      </c>
      <c r="S33" s="28">
        <f t="shared" si="26"/>
        <v>1.216218948842789</v>
      </c>
      <c r="T33" s="28">
        <f t="shared" si="5"/>
        <v>3.3690275591212993E-3</v>
      </c>
      <c r="W33" s="21">
        <f>AVERAGE(P33:P37)</f>
        <v>386.92200000000003</v>
      </c>
      <c r="X33" s="21">
        <f>STDEV(P33:P37)</f>
        <v>15.224993267650403</v>
      </c>
      <c r="Y33" s="70">
        <f>SUM(S33:S37)/SUM(R33:R37)</f>
        <v>387.57416494352731</v>
      </c>
      <c r="Z33" s="70">
        <f>SQRT(1/SUM(R33:R37))</f>
        <v>7.4124427851812866</v>
      </c>
      <c r="AB33" s="34">
        <f t="shared" ref="AB33:AB45" si="56">IF(P33*0.2%=0,"",P33*0.2%)</f>
        <v>0.72199999999999998</v>
      </c>
      <c r="AC33" s="34">
        <f t="shared" si="2"/>
        <v>8.0311798748080783</v>
      </c>
      <c r="AD33" s="34">
        <f>$X$33</f>
        <v>15.224993267650403</v>
      </c>
      <c r="AE33" s="35">
        <f t="shared" si="3"/>
        <v>1.065E-3</v>
      </c>
      <c r="AG33" s="69">
        <f t="shared" si="7"/>
        <v>17.228509956341185</v>
      </c>
      <c r="AJ33" s="1">
        <v>169.34</v>
      </c>
      <c r="AK33" s="1">
        <v>340</v>
      </c>
      <c r="AL33" s="1">
        <f t="shared" ref="AL33:AL37" si="57">AJ33/AK33</f>
        <v>0.49805882352941178</v>
      </c>
      <c r="AM33" s="1">
        <f t="shared" si="9"/>
        <v>2.0077949687020196</v>
      </c>
      <c r="AO33" s="2" t="s">
        <v>111</v>
      </c>
      <c r="AP33" s="5"/>
      <c r="AQ33" s="5"/>
    </row>
    <row r="34" spans="1:45" x14ac:dyDescent="0.3">
      <c r="A34" s="1">
        <v>5613</v>
      </c>
      <c r="B34" s="1" t="s">
        <v>92</v>
      </c>
      <c r="C34" s="1" t="s">
        <v>10</v>
      </c>
      <c r="D34" s="1">
        <v>355</v>
      </c>
      <c r="E34" s="1">
        <f t="shared" si="55"/>
        <v>35.5</v>
      </c>
      <c r="F34" s="1" t="s">
        <v>12</v>
      </c>
      <c r="G34" s="1" t="s">
        <v>15</v>
      </c>
      <c r="H34" s="1" t="s">
        <v>28</v>
      </c>
      <c r="J34" s="1" t="s">
        <v>62</v>
      </c>
      <c r="K34" s="1" t="s">
        <v>97</v>
      </c>
      <c r="L34" s="5" t="s">
        <v>39</v>
      </c>
      <c r="M34" s="5">
        <v>1</v>
      </c>
      <c r="N34" s="5">
        <v>1</v>
      </c>
      <c r="O34" s="4">
        <v>36</v>
      </c>
      <c r="P34" s="13">
        <v>388</v>
      </c>
      <c r="Q34" s="14">
        <v>4</v>
      </c>
      <c r="R34" s="28">
        <f t="shared" si="4"/>
        <v>3.3862623463384051E-3</v>
      </c>
      <c r="S34" s="28">
        <f t="shared" si="26"/>
        <v>1.3138697903793013</v>
      </c>
      <c r="T34" s="28">
        <f t="shared" si="5"/>
        <v>3.3862623463384051E-3</v>
      </c>
      <c r="AB34" s="34">
        <f t="shared" si="56"/>
        <v>0.77600000000000002</v>
      </c>
      <c r="AC34" s="34">
        <f t="shared" si="2"/>
        <v>7.9314720812182742</v>
      </c>
      <c r="AD34" s="34">
        <f t="shared" ref="AD34:AD37" si="58">$X$33</f>
        <v>15.224993267650403</v>
      </c>
      <c r="AE34" s="35">
        <f t="shared" si="3"/>
        <v>1.065E-3</v>
      </c>
      <c r="AG34" s="69">
        <f t="shared" si="7"/>
        <v>17.184610746518818</v>
      </c>
      <c r="AJ34" s="1">
        <v>504.32</v>
      </c>
      <c r="AK34" s="1">
        <v>1000</v>
      </c>
      <c r="AL34" s="1">
        <f t="shared" si="57"/>
        <v>0.50431999999999999</v>
      </c>
      <c r="AM34" s="1">
        <f t="shared" si="9"/>
        <v>1.9828680203045685</v>
      </c>
      <c r="AO34" s="2" t="s">
        <v>89</v>
      </c>
      <c r="AP34" s="5"/>
      <c r="AQ34" s="5"/>
    </row>
    <row r="35" spans="1:45" x14ac:dyDescent="0.3">
      <c r="A35" s="1">
        <v>5613</v>
      </c>
      <c r="B35" s="1" t="s">
        <v>93</v>
      </c>
      <c r="C35" s="1" t="s">
        <v>10</v>
      </c>
      <c r="D35" s="1">
        <v>355</v>
      </c>
      <c r="E35" s="1">
        <f t="shared" si="55"/>
        <v>35.5</v>
      </c>
      <c r="F35" s="1" t="s">
        <v>12</v>
      </c>
      <c r="G35" s="1" t="s">
        <v>15</v>
      </c>
      <c r="H35" s="1" t="s">
        <v>28</v>
      </c>
      <c r="J35" s="1" t="s">
        <v>62</v>
      </c>
      <c r="K35" s="1" t="s">
        <v>97</v>
      </c>
      <c r="L35" s="5" t="s">
        <v>39</v>
      </c>
      <c r="M35" s="5">
        <v>1</v>
      </c>
      <c r="N35" s="4">
        <v>2</v>
      </c>
      <c r="O35" s="4">
        <v>28</v>
      </c>
      <c r="P35" s="13">
        <v>394</v>
      </c>
      <c r="Q35" s="14">
        <v>4</v>
      </c>
      <c r="R35" s="28">
        <f t="shared" si="4"/>
        <v>3.3860471516251297E-3</v>
      </c>
      <c r="S35" s="28">
        <f t="shared" si="26"/>
        <v>1.3341025777403011</v>
      </c>
      <c r="T35" s="28">
        <f t="shared" si="5"/>
        <v>3.3860471516251297E-3</v>
      </c>
      <c r="AB35" s="34">
        <f t="shared" si="56"/>
        <v>0.78800000000000003</v>
      </c>
      <c r="AC35" s="34">
        <f t="shared" si="2"/>
        <v>7.9314720812182742</v>
      </c>
      <c r="AD35" s="34">
        <f t="shared" si="58"/>
        <v>15.224993267650403</v>
      </c>
      <c r="AE35" s="35">
        <f t="shared" si="3"/>
        <v>1.065E-3</v>
      </c>
      <c r="AG35" s="69">
        <f t="shared" si="7"/>
        <v>17.185156807820231</v>
      </c>
      <c r="AJ35" s="1">
        <v>504.32</v>
      </c>
      <c r="AK35" s="1">
        <v>1000</v>
      </c>
      <c r="AL35" s="1">
        <f t="shared" si="57"/>
        <v>0.50431999999999999</v>
      </c>
      <c r="AM35" s="1">
        <f t="shared" si="9"/>
        <v>1.9828680203045685</v>
      </c>
      <c r="AO35" s="2" t="s">
        <v>88</v>
      </c>
      <c r="AP35" s="5"/>
      <c r="AQ35" s="5"/>
    </row>
    <row r="36" spans="1:45" x14ac:dyDescent="0.3">
      <c r="A36" s="1">
        <v>5613</v>
      </c>
      <c r="B36" s="1" t="s">
        <v>94</v>
      </c>
      <c r="C36" s="1" t="s">
        <v>10</v>
      </c>
      <c r="D36" s="1">
        <v>355</v>
      </c>
      <c r="E36" s="1">
        <f t="shared" si="55"/>
        <v>35.5</v>
      </c>
      <c r="F36" s="1" t="s">
        <v>12</v>
      </c>
      <c r="G36" s="1" t="s">
        <v>15</v>
      </c>
      <c r="H36" s="1" t="s">
        <v>28</v>
      </c>
      <c r="J36" s="1" t="s">
        <v>62</v>
      </c>
      <c r="K36" s="1" t="s">
        <v>97</v>
      </c>
      <c r="L36" s="5" t="s">
        <v>96</v>
      </c>
      <c r="M36" s="5">
        <v>0.5</v>
      </c>
      <c r="N36" s="4">
        <v>1</v>
      </c>
      <c r="O36" s="4">
        <v>24</v>
      </c>
      <c r="P36" s="13">
        <v>391</v>
      </c>
      <c r="Q36" s="14">
        <v>2.887</v>
      </c>
      <c r="R36" s="28">
        <f t="shared" si="4"/>
        <v>4.0297296262598765E-3</v>
      </c>
      <c r="S36" s="28">
        <f t="shared" si="26"/>
        <v>1.5756242838676118</v>
      </c>
      <c r="T36" s="28">
        <f t="shared" si="5"/>
        <v>4.0297296262598765E-3</v>
      </c>
      <c r="AB36" s="34">
        <f t="shared" si="56"/>
        <v>0.78200000000000003</v>
      </c>
      <c r="AC36" s="34">
        <f t="shared" si="2"/>
        <v>3.9678284182305634</v>
      </c>
      <c r="AD36" s="34">
        <f t="shared" si="58"/>
        <v>15.224993267650403</v>
      </c>
      <c r="AE36" s="35">
        <f t="shared" si="3"/>
        <v>5.3249999999999999E-4</v>
      </c>
      <c r="AG36" s="69">
        <f t="shared" si="7"/>
        <v>15.752955489052663</v>
      </c>
      <c r="AJ36" s="1">
        <v>2984</v>
      </c>
      <c r="AK36" s="1">
        <v>2960</v>
      </c>
      <c r="AL36" s="1">
        <f t="shared" si="57"/>
        <v>1.008108108108108</v>
      </c>
      <c r="AM36" s="1">
        <f t="shared" si="9"/>
        <v>0.99195710455764086</v>
      </c>
      <c r="AO36" s="2" t="s">
        <v>90</v>
      </c>
      <c r="AP36" s="5"/>
      <c r="AQ36" s="5"/>
    </row>
    <row r="37" spans="1:45" s="40" customFormat="1" ht="15" thickBot="1" x14ac:dyDescent="0.35">
      <c r="A37" s="40">
        <v>5613</v>
      </c>
      <c r="B37" s="40" t="s">
        <v>95</v>
      </c>
      <c r="C37" s="40" t="s">
        <v>10</v>
      </c>
      <c r="D37" s="40">
        <v>355</v>
      </c>
      <c r="E37" s="40">
        <f t="shared" si="55"/>
        <v>35.5</v>
      </c>
      <c r="F37" s="40" t="s">
        <v>12</v>
      </c>
      <c r="G37" s="40" t="s">
        <v>15</v>
      </c>
      <c r="H37" s="40" t="s">
        <v>28</v>
      </c>
      <c r="J37" s="40" t="s">
        <v>62</v>
      </c>
      <c r="K37" s="40" t="s">
        <v>97</v>
      </c>
      <c r="L37" s="41" t="s">
        <v>96</v>
      </c>
      <c r="M37" s="41">
        <v>0.5</v>
      </c>
      <c r="N37" s="53">
        <v>2</v>
      </c>
      <c r="O37" s="53">
        <v>23</v>
      </c>
      <c r="P37" s="54">
        <v>400.61</v>
      </c>
      <c r="Q37" s="55">
        <v>22.46</v>
      </c>
      <c r="R37" s="44">
        <f t="shared" si="4"/>
        <v>4.029180723660983E-3</v>
      </c>
      <c r="S37" s="44">
        <f t="shared" si="26"/>
        <v>1.6141300897058264</v>
      </c>
      <c r="T37" s="44">
        <f t="shared" si="5"/>
        <v>4.0291807236609821E-3</v>
      </c>
      <c r="U37" s="43"/>
      <c r="V37" s="43"/>
      <c r="W37" s="45"/>
      <c r="X37" s="45"/>
      <c r="Y37" s="71"/>
      <c r="Z37" s="71"/>
      <c r="AA37" s="45"/>
      <c r="AB37" s="46">
        <f t="shared" si="56"/>
        <v>0.80122000000000004</v>
      </c>
      <c r="AC37" s="46">
        <f t="shared" si="2"/>
        <v>3.9682539682539684</v>
      </c>
      <c r="AD37" s="34">
        <f t="shared" si="58"/>
        <v>15.224993267650403</v>
      </c>
      <c r="AE37" s="47">
        <f t="shared" si="3"/>
        <v>5.3249999999999999E-4</v>
      </c>
      <c r="AF37" s="46"/>
      <c r="AG37" s="71">
        <f t="shared" si="7"/>
        <v>15.754028479361072</v>
      </c>
      <c r="AH37" s="71"/>
      <c r="AI37" s="71"/>
      <c r="AJ37" s="40">
        <v>1008</v>
      </c>
      <c r="AK37" s="40">
        <v>1000</v>
      </c>
      <c r="AL37" s="40">
        <f t="shared" si="57"/>
        <v>1.008</v>
      </c>
      <c r="AM37" s="40">
        <f t="shared" si="9"/>
        <v>0.99206349206349209</v>
      </c>
      <c r="AO37" s="56" t="s">
        <v>88</v>
      </c>
      <c r="AP37" s="41"/>
      <c r="AQ37" s="41"/>
      <c r="AR37" s="52"/>
      <c r="AS37" s="52"/>
    </row>
    <row r="38" spans="1:45" x14ac:dyDescent="0.3">
      <c r="A38" s="1">
        <v>7029</v>
      </c>
      <c r="B38" s="1" t="s">
        <v>14</v>
      </c>
      <c r="C38" s="1" t="s">
        <v>8</v>
      </c>
      <c r="D38" s="1">
        <v>225</v>
      </c>
      <c r="E38" s="1">
        <f t="shared" si="13"/>
        <v>22.5</v>
      </c>
      <c r="F38" s="1" t="s">
        <v>12</v>
      </c>
      <c r="G38" s="1" t="s">
        <v>15</v>
      </c>
      <c r="H38" s="1" t="s">
        <v>28</v>
      </c>
      <c r="I38" s="1" t="s">
        <v>38</v>
      </c>
      <c r="J38" s="1" t="s">
        <v>62</v>
      </c>
      <c r="K38" s="1" t="s">
        <v>97</v>
      </c>
      <c r="L38" s="5" t="s">
        <v>98</v>
      </c>
      <c r="M38" s="5">
        <v>0.3</v>
      </c>
      <c r="N38" s="4">
        <v>1</v>
      </c>
      <c r="O38" s="4">
        <v>17</v>
      </c>
      <c r="P38" s="13">
        <v>211.06800000000001</v>
      </c>
      <c r="Q38" s="14">
        <v>2.7349999999999999</v>
      </c>
      <c r="R38" s="28">
        <f t="shared" si="4"/>
        <v>3.0353701150385794E-2</v>
      </c>
      <c r="S38" s="28">
        <f t="shared" si="26"/>
        <v>6.4066949944096292</v>
      </c>
      <c r="T38" s="28">
        <f t="shared" si="5"/>
        <v>3.0353701150385794E-2</v>
      </c>
      <c r="U38" s="14">
        <v>207.89500000000001</v>
      </c>
      <c r="V38" s="14">
        <v>217.10499999999999</v>
      </c>
      <c r="W38" s="21">
        <f>AVERAGE(P38:P41)</f>
        <v>216.87924999999998</v>
      </c>
      <c r="X38" s="21">
        <f>STDEV(P38:P41)</f>
        <v>5.0763285535250002</v>
      </c>
      <c r="Y38" s="70">
        <f>SUM(S38:S41)/SUM(R38:R41)</f>
        <v>216.88002740530297</v>
      </c>
      <c r="Z38" s="70">
        <f>SQRT(1/SUM(R38:R41))</f>
        <v>2.8703200567362188</v>
      </c>
      <c r="AB38" s="34">
        <f t="shared" si="56"/>
        <v>0.42213600000000001</v>
      </c>
      <c r="AC38" s="34">
        <f t="shared" si="2"/>
        <v>2.6452979295084558</v>
      </c>
      <c r="AD38" s="34">
        <f>$X$38</f>
        <v>5.0763285535250002</v>
      </c>
      <c r="AE38" s="35">
        <f t="shared" si="3"/>
        <v>2.0249999999999996E-4</v>
      </c>
      <c r="AG38" s="69">
        <f t="shared" si="7"/>
        <v>5.7397658107885547</v>
      </c>
      <c r="AJ38" s="1">
        <v>316.35000000000002</v>
      </c>
      <c r="AK38" s="1">
        <v>209.21</v>
      </c>
      <c r="AL38" s="1">
        <f t="shared" ref="AL38:AL44" si="59">AJ38/AK38</f>
        <v>1.5121170116151237</v>
      </c>
      <c r="AM38" s="1">
        <f t="shared" si="9"/>
        <v>0.66132448237711394</v>
      </c>
      <c r="AO38" s="1" t="s">
        <v>108</v>
      </c>
      <c r="AP38" s="5"/>
      <c r="AQ38" s="5"/>
      <c r="AR38" s="1"/>
      <c r="AS38" s="1"/>
    </row>
    <row r="39" spans="1:45" x14ac:dyDescent="0.3">
      <c r="A39" s="1">
        <v>7029</v>
      </c>
      <c r="B39" s="1" t="s">
        <v>20</v>
      </c>
      <c r="C39" s="1" t="s">
        <v>8</v>
      </c>
      <c r="D39" s="1">
        <v>225</v>
      </c>
      <c r="E39" s="1">
        <f t="shared" ref="E39:E41" si="60">0.1*D39</f>
        <v>22.5</v>
      </c>
      <c r="F39" s="1" t="s">
        <v>12</v>
      </c>
      <c r="G39" s="1" t="s">
        <v>15</v>
      </c>
      <c r="H39" s="1" t="s">
        <v>23</v>
      </c>
      <c r="I39" s="1" t="s">
        <v>105</v>
      </c>
      <c r="J39" s="1" t="s">
        <v>62</v>
      </c>
      <c r="K39" s="1" t="s">
        <v>97</v>
      </c>
      <c r="L39" s="5" t="s">
        <v>98</v>
      </c>
      <c r="M39" s="5">
        <v>0.3</v>
      </c>
      <c r="N39" s="4">
        <v>1</v>
      </c>
      <c r="O39" s="4">
        <v>22</v>
      </c>
      <c r="P39" s="15">
        <v>215.51400000000001</v>
      </c>
      <c r="Q39" s="16">
        <v>3.698</v>
      </c>
      <c r="R39" s="28">
        <f t="shared" si="4"/>
        <v>3.0318517774940185E-2</v>
      </c>
      <c r="S39" s="28">
        <f t="shared" si="26"/>
        <v>6.5340650397484596</v>
      </c>
      <c r="T39" s="28">
        <f t="shared" si="5"/>
        <v>3.0318517774940185E-2</v>
      </c>
      <c r="U39" s="16">
        <v>209.67</v>
      </c>
      <c r="V39" s="14">
        <v>222.19800000000001</v>
      </c>
      <c r="AB39" s="34">
        <f t="shared" si="56"/>
        <v>0.43102800000000002</v>
      </c>
      <c r="AC39" s="34">
        <f t="shared" si="2"/>
        <v>2.6510839287876955</v>
      </c>
      <c r="AD39" s="34">
        <f t="shared" ref="AD39:AD41" si="61">$X$38</f>
        <v>5.0763285535250002</v>
      </c>
      <c r="AE39" s="35">
        <f t="shared" si="3"/>
        <v>2.0249999999999996E-4</v>
      </c>
      <c r="AG39" s="69">
        <f t="shared" si="7"/>
        <v>5.7430952245805464</v>
      </c>
      <c r="AJ39" s="1">
        <v>330.28</v>
      </c>
      <c r="AK39" s="1">
        <v>218.9</v>
      </c>
      <c r="AL39" s="1">
        <f t="shared" si="59"/>
        <v>1.5088168113293741</v>
      </c>
      <c r="AM39" s="1">
        <f t="shared" si="9"/>
        <v>0.66277098219692387</v>
      </c>
      <c r="AO39" s="1" t="s">
        <v>109</v>
      </c>
      <c r="AP39" s="4"/>
      <c r="AQ39" s="4"/>
      <c r="AR39" s="2"/>
      <c r="AS39" s="1"/>
    </row>
    <row r="40" spans="1:45" x14ac:dyDescent="0.3">
      <c r="A40" s="1">
        <v>7029</v>
      </c>
      <c r="B40" s="1" t="s">
        <v>43</v>
      </c>
      <c r="C40" s="1" t="s">
        <v>8</v>
      </c>
      <c r="D40" s="1">
        <v>225</v>
      </c>
      <c r="E40" s="1">
        <f t="shared" si="60"/>
        <v>22.5</v>
      </c>
      <c r="F40" s="1" t="s">
        <v>12</v>
      </c>
      <c r="G40" s="1" t="s">
        <v>15</v>
      </c>
      <c r="H40" s="1" t="s">
        <v>23</v>
      </c>
      <c r="I40" s="1" t="s">
        <v>106</v>
      </c>
      <c r="J40" s="1" t="s">
        <v>62</v>
      </c>
      <c r="K40" s="1" t="s">
        <v>97</v>
      </c>
      <c r="L40" s="5" t="s">
        <v>98</v>
      </c>
      <c r="M40" s="5">
        <v>0.3</v>
      </c>
      <c r="N40" s="4">
        <v>1</v>
      </c>
      <c r="O40" s="1">
        <v>28</v>
      </c>
      <c r="P40" s="13">
        <v>217.64599999999999</v>
      </c>
      <c r="Q40" s="14">
        <v>2.4750000000000001</v>
      </c>
      <c r="R40" s="28">
        <f t="shared" si="4"/>
        <v>3.0343450699347387E-2</v>
      </c>
      <c r="S40" s="28">
        <f t="shared" si="26"/>
        <v>6.6041306709101608</v>
      </c>
      <c r="T40" s="28">
        <f t="shared" si="5"/>
        <v>3.034345069934739E-2</v>
      </c>
      <c r="U40" s="14">
        <v>212.5</v>
      </c>
      <c r="V40" s="14">
        <v>224.34200000000001</v>
      </c>
      <c r="AB40" s="34">
        <f t="shared" si="56"/>
        <v>0.43529199999999996</v>
      </c>
      <c r="AC40" s="34">
        <f t="shared" si="2"/>
        <v>2.6452693765981836</v>
      </c>
      <c r="AD40" s="34">
        <f t="shared" si="61"/>
        <v>5.0763285535250002</v>
      </c>
      <c r="AE40" s="35">
        <f t="shared" si="3"/>
        <v>2.0249999999999996E-4</v>
      </c>
      <c r="AG40" s="69">
        <f t="shared" si="7"/>
        <v>5.7407352163613696</v>
      </c>
      <c r="AJ40" s="1">
        <v>453.64</v>
      </c>
      <c r="AK40" s="1">
        <v>300</v>
      </c>
      <c r="AL40" s="1">
        <f t="shared" si="59"/>
        <v>1.5121333333333333</v>
      </c>
      <c r="AM40" s="1">
        <f t="shared" si="9"/>
        <v>0.6613173441495459</v>
      </c>
      <c r="AO40" s="1" t="s">
        <v>107</v>
      </c>
      <c r="AP40" s="1"/>
      <c r="AQ40" s="1"/>
      <c r="AR40" s="1"/>
      <c r="AS40" s="1"/>
    </row>
    <row r="41" spans="1:45" s="40" customFormat="1" ht="15" thickBot="1" x14ac:dyDescent="0.35">
      <c r="A41" s="40">
        <v>7029</v>
      </c>
      <c r="B41" s="40" t="s">
        <v>47</v>
      </c>
      <c r="C41" s="40" t="s">
        <v>8</v>
      </c>
      <c r="D41" s="40">
        <v>225</v>
      </c>
      <c r="E41" s="40">
        <f t="shared" si="60"/>
        <v>22.5</v>
      </c>
      <c r="F41" s="40" t="s">
        <v>12</v>
      </c>
      <c r="G41" s="40" t="s">
        <v>15</v>
      </c>
      <c r="H41" s="40" t="s">
        <v>45</v>
      </c>
      <c r="I41" s="40" t="s">
        <v>105</v>
      </c>
      <c r="J41" s="40" t="s">
        <v>62</v>
      </c>
      <c r="K41" s="40" t="s">
        <v>97</v>
      </c>
      <c r="L41" s="41" t="s">
        <v>98</v>
      </c>
      <c r="M41" s="41">
        <v>0.3</v>
      </c>
      <c r="N41" s="53">
        <v>1</v>
      </c>
      <c r="O41" s="53">
        <v>21</v>
      </c>
      <c r="P41" s="57">
        <v>223.28899999999999</v>
      </c>
      <c r="Q41" s="58">
        <v>6.173</v>
      </c>
      <c r="R41" s="44">
        <f t="shared" si="4"/>
        <v>3.0362154708528457E-2</v>
      </c>
      <c r="S41" s="44">
        <f t="shared" si="26"/>
        <v>6.7795351627126106</v>
      </c>
      <c r="T41" s="44">
        <f t="shared" si="5"/>
        <v>3.0362154708528457E-2</v>
      </c>
      <c r="U41" s="58">
        <v>212.691</v>
      </c>
      <c r="V41" s="55">
        <v>237.637</v>
      </c>
      <c r="W41" s="45"/>
      <c r="X41" s="45"/>
      <c r="Y41" s="71"/>
      <c r="Z41" s="71"/>
      <c r="AA41" s="45"/>
      <c r="AB41" s="46">
        <f t="shared" si="56"/>
        <v>0.44657799999999997</v>
      </c>
      <c r="AC41" s="46">
        <f t="shared" si="2"/>
        <v>2.6395445380144702</v>
      </c>
      <c r="AD41" s="34">
        <f t="shared" si="61"/>
        <v>5.0763285535250002</v>
      </c>
      <c r="AE41" s="47">
        <f t="shared" si="3"/>
        <v>2.0249999999999996E-4</v>
      </c>
      <c r="AF41" s="46"/>
      <c r="AG41" s="71">
        <f t="shared" si="7"/>
        <v>5.7389667103569693</v>
      </c>
      <c r="AH41" s="71"/>
      <c r="AI41" s="71"/>
      <c r="AJ41" s="40">
        <v>337.24</v>
      </c>
      <c r="AK41" s="40">
        <v>222.54</v>
      </c>
      <c r="AL41" s="40">
        <f t="shared" si="59"/>
        <v>1.5154129594679608</v>
      </c>
      <c r="AM41" s="40">
        <f t="shared" si="9"/>
        <v>0.65988613450361755</v>
      </c>
      <c r="AP41" s="53"/>
      <c r="AQ41" s="53"/>
      <c r="AR41" s="56"/>
    </row>
    <row r="42" spans="1:45" s="48" customFormat="1" x14ac:dyDescent="0.3">
      <c r="A42" s="48">
        <v>6809</v>
      </c>
      <c r="B42" s="48" t="s">
        <v>43</v>
      </c>
      <c r="C42" s="48" t="s">
        <v>8</v>
      </c>
      <c r="D42" s="48">
        <v>50</v>
      </c>
      <c r="E42" s="48">
        <f t="shared" ref="E42:E44" si="62">0.1*D42</f>
        <v>5</v>
      </c>
      <c r="F42" s="48" t="s">
        <v>13</v>
      </c>
      <c r="G42" s="48" t="s">
        <v>15</v>
      </c>
      <c r="H42" s="48" t="s">
        <v>28</v>
      </c>
      <c r="J42" s="48" t="s">
        <v>62</v>
      </c>
      <c r="K42" s="48" t="s">
        <v>102</v>
      </c>
      <c r="L42" s="49" t="s">
        <v>98</v>
      </c>
      <c r="M42" s="49">
        <v>0.3</v>
      </c>
      <c r="N42" s="59">
        <v>1</v>
      </c>
      <c r="O42" s="59">
        <v>40</v>
      </c>
      <c r="P42" s="60">
        <v>51.253999999999998</v>
      </c>
      <c r="Q42" s="61">
        <v>2.766</v>
      </c>
      <c r="R42" s="27">
        <f t="shared" si="4"/>
        <v>6.8224097128860531E-2</v>
      </c>
      <c r="S42" s="27">
        <f t="shared" si="26"/>
        <v>3.4967578742426175</v>
      </c>
      <c r="T42" s="27">
        <f t="shared" si="5"/>
        <v>6.8224097128860531E-2</v>
      </c>
      <c r="U42" s="61">
        <v>44.643999999999998</v>
      </c>
      <c r="V42" s="61">
        <v>59.085000000000001</v>
      </c>
      <c r="W42" s="21">
        <f>AVERAGE(P42:P44)</f>
        <v>52.210333333333324</v>
      </c>
      <c r="X42" s="21">
        <f>STDEV(P42:P44)</f>
        <v>1.1972010413181791</v>
      </c>
      <c r="Y42" s="70">
        <f>SUM(S42:S44)/SUM(R42:R44)</f>
        <v>52.187081734059035</v>
      </c>
      <c r="Z42" s="70">
        <f>SQRT(1/SUM(R42:R44))</f>
        <v>2.1350915404335509</v>
      </c>
      <c r="AA42" s="20"/>
      <c r="AB42" s="50">
        <f t="shared" si="56"/>
        <v>0.102508</v>
      </c>
      <c r="AC42" s="50">
        <f t="shared" si="2"/>
        <v>2.645054581541515</v>
      </c>
      <c r="AD42" s="50">
        <f t="shared" si="48"/>
        <v>2.766</v>
      </c>
      <c r="AE42" s="51">
        <f t="shared" si="3"/>
        <v>4.4999999999999996E-5</v>
      </c>
      <c r="AF42" s="50"/>
      <c r="AG42" s="72">
        <f t="shared" si="7"/>
        <v>3.828521598662173</v>
      </c>
      <c r="AH42" s="72"/>
      <c r="AI42" s="72"/>
      <c r="AJ42" s="48">
        <v>90.69</v>
      </c>
      <c r="AK42" s="48">
        <v>59.97</v>
      </c>
      <c r="AL42" s="48">
        <f t="shared" si="59"/>
        <v>1.5122561280640321</v>
      </c>
      <c r="AM42" s="48">
        <f t="shared" si="9"/>
        <v>0.66126364538537874</v>
      </c>
      <c r="AP42" s="49"/>
      <c r="AQ42" s="49"/>
    </row>
    <row r="43" spans="1:45" s="36" customFormat="1" x14ac:dyDescent="0.3">
      <c r="A43" s="36">
        <v>6809</v>
      </c>
      <c r="B43" s="36" t="s">
        <v>50</v>
      </c>
      <c r="C43" s="36" t="s">
        <v>8</v>
      </c>
      <c r="D43" s="36">
        <v>50</v>
      </c>
      <c r="E43" s="36">
        <f t="shared" si="62"/>
        <v>5</v>
      </c>
      <c r="F43" s="36" t="s">
        <v>13</v>
      </c>
      <c r="G43" s="36" t="s">
        <v>15</v>
      </c>
      <c r="H43" s="36" t="s">
        <v>28</v>
      </c>
      <c r="J43" s="36" t="s">
        <v>62</v>
      </c>
      <c r="K43" s="36" t="s">
        <v>102</v>
      </c>
      <c r="L43" s="37" t="s">
        <v>98</v>
      </c>
      <c r="M43" s="37">
        <v>0.3</v>
      </c>
      <c r="N43" s="62">
        <v>1</v>
      </c>
      <c r="O43" s="62">
        <v>23</v>
      </c>
      <c r="P43" s="13">
        <v>53.552999999999997</v>
      </c>
      <c r="Q43" s="14">
        <v>2.766</v>
      </c>
      <c r="R43" s="28">
        <f t="shared" si="4"/>
        <v>6.8557026212297686E-2</v>
      </c>
      <c r="S43" s="28">
        <f t="shared" si="26"/>
        <v>3.671434424747178</v>
      </c>
      <c r="T43" s="28">
        <f t="shared" si="5"/>
        <v>6.8557026212297686E-2</v>
      </c>
      <c r="U43" s="14">
        <v>47.377000000000002</v>
      </c>
      <c r="V43" s="14">
        <v>58.771999999999998</v>
      </c>
      <c r="W43" s="21"/>
      <c r="X43" s="21"/>
      <c r="Y43" s="70"/>
      <c r="Z43" s="70"/>
      <c r="AA43" s="21"/>
      <c r="AB43" s="38">
        <f t="shared" si="56"/>
        <v>0.10710599999999999</v>
      </c>
      <c r="AC43" s="38">
        <f t="shared" si="2"/>
        <v>2.6313816297276436</v>
      </c>
      <c r="AD43" s="38">
        <f t="shared" si="48"/>
        <v>2.766</v>
      </c>
      <c r="AE43" s="39">
        <f t="shared" si="3"/>
        <v>4.4999999999999996E-5</v>
      </c>
      <c r="AF43" s="38"/>
      <c r="AG43" s="70">
        <f t="shared" si="7"/>
        <v>3.8192141833797577</v>
      </c>
      <c r="AH43" s="70"/>
      <c r="AI43" s="70"/>
      <c r="AJ43" s="36">
        <v>90.69</v>
      </c>
      <c r="AK43" s="36">
        <v>59.66</v>
      </c>
      <c r="AL43" s="36">
        <f t="shared" si="59"/>
        <v>1.5201139792155549</v>
      </c>
      <c r="AM43" s="36">
        <f t="shared" si="9"/>
        <v>0.65784540743191089</v>
      </c>
      <c r="AO43" s="63" t="s">
        <v>104</v>
      </c>
      <c r="AP43" s="37"/>
      <c r="AQ43" s="37"/>
    </row>
    <row r="44" spans="1:45" s="40" customFormat="1" ht="15" thickBot="1" x14ac:dyDescent="0.35">
      <c r="A44" s="40">
        <v>6809</v>
      </c>
      <c r="B44" s="40" t="s">
        <v>101</v>
      </c>
      <c r="C44" s="40" t="s">
        <v>8</v>
      </c>
      <c r="D44" s="40">
        <v>50</v>
      </c>
      <c r="E44" s="40">
        <f t="shared" si="62"/>
        <v>5</v>
      </c>
      <c r="F44" s="40" t="s">
        <v>13</v>
      </c>
      <c r="G44" s="40" t="s">
        <v>15</v>
      </c>
      <c r="H44" s="40" t="s">
        <v>28</v>
      </c>
      <c r="J44" s="40" t="s">
        <v>62</v>
      </c>
      <c r="K44" s="40" t="s">
        <v>102</v>
      </c>
      <c r="L44" s="41" t="s">
        <v>98</v>
      </c>
      <c r="M44" s="41">
        <v>0.3</v>
      </c>
      <c r="N44" s="53">
        <v>2</v>
      </c>
      <c r="O44" s="53">
        <v>39</v>
      </c>
      <c r="P44" s="54">
        <v>51.823999999999998</v>
      </c>
      <c r="Q44" s="55">
        <v>2.2519999999999998</v>
      </c>
      <c r="R44" s="44">
        <f t="shared" si="4"/>
        <v>8.2583706905743279E-2</v>
      </c>
      <c r="S44" s="44">
        <f t="shared" si="26"/>
        <v>4.2798180266832393</v>
      </c>
      <c r="T44" s="44">
        <f t="shared" si="5"/>
        <v>8.2583706905743265E-2</v>
      </c>
      <c r="U44" s="55">
        <v>48.026000000000003</v>
      </c>
      <c r="V44" s="55">
        <v>59.213999999999999</v>
      </c>
      <c r="W44" s="45"/>
      <c r="X44" s="45"/>
      <c r="Y44" s="71"/>
      <c r="Z44" s="71"/>
      <c r="AA44" s="45"/>
      <c r="AB44" s="46">
        <f t="shared" si="56"/>
        <v>0.103648</v>
      </c>
      <c r="AC44" s="46">
        <f t="shared" si="2"/>
        <v>2.6507884000441062</v>
      </c>
      <c r="AD44" s="46">
        <f t="shared" si="48"/>
        <v>2.2519999999999998</v>
      </c>
      <c r="AE44" s="47">
        <f t="shared" si="3"/>
        <v>4.4999999999999996E-5</v>
      </c>
      <c r="AF44" s="46"/>
      <c r="AG44" s="71">
        <f t="shared" si="7"/>
        <v>3.4797882193802243</v>
      </c>
      <c r="AH44" s="71"/>
      <c r="AI44" s="71"/>
      <c r="AJ44" s="40">
        <v>90.69</v>
      </c>
      <c r="AK44" s="40">
        <v>60.1</v>
      </c>
      <c r="AL44" s="40">
        <f t="shared" si="59"/>
        <v>1.5089850249584027</v>
      </c>
      <c r="AM44" s="40">
        <f t="shared" si="9"/>
        <v>0.66269710001102655</v>
      </c>
      <c r="AO44" s="56" t="s">
        <v>103</v>
      </c>
      <c r="AP44" s="41"/>
      <c r="AQ44" s="41"/>
    </row>
    <row r="45" spans="1:45" x14ac:dyDescent="0.3">
      <c r="N45" s="4"/>
      <c r="O45" s="4"/>
      <c r="AB45" s="34" t="str">
        <f t="shared" si="56"/>
        <v/>
      </c>
    </row>
    <row r="46" spans="1:45" x14ac:dyDescent="0.3">
      <c r="N46" s="4"/>
      <c r="O46" s="4"/>
      <c r="P46" s="15"/>
      <c r="Q46" s="16"/>
      <c r="R46" s="29"/>
      <c r="S46" s="29"/>
      <c r="T46" s="29"/>
      <c r="AP46" s="4"/>
      <c r="AQ46" s="4"/>
    </row>
    <row r="47" spans="1:45" x14ac:dyDescent="0.3">
      <c r="N47" s="6"/>
      <c r="O47" s="6"/>
      <c r="Q47" s="14"/>
      <c r="U47" s="14"/>
      <c r="V47" s="14"/>
      <c r="AQ47" s="5"/>
      <c r="AR47" s="1"/>
      <c r="AS47" s="1"/>
    </row>
    <row r="48" spans="1:45" x14ac:dyDescent="0.3">
      <c r="N48" s="6"/>
    </row>
    <row r="59" spans="22:45" x14ac:dyDescent="0.3">
      <c r="V59" s="14"/>
      <c r="AS59" s="1"/>
    </row>
    <row r="60" spans="22:45" x14ac:dyDescent="0.3">
      <c r="V60" s="14"/>
      <c r="AS60" s="1"/>
    </row>
  </sheetData>
  <conditionalFormatting sqref="N43 AL42:AL44">
    <cfRule type="expression" dxfId="12" priority="14" stopIfTrue="1">
      <formula>MOD(ROW(),2)=0</formula>
    </cfRule>
  </conditionalFormatting>
  <conditionalFormatting sqref="AL38:AN41">
    <cfRule type="expression" dxfId="11" priority="11" stopIfTrue="1">
      <formula>MOD(ROW(),2)=0</formula>
    </cfRule>
  </conditionalFormatting>
  <conditionalFormatting sqref="A3:XFD8">
    <cfRule type="expression" dxfId="10" priority="9">
      <formula>MOD(ROW(),2)=0</formula>
    </cfRule>
  </conditionalFormatting>
  <conditionalFormatting sqref="A9:XFD18 B33:XFD37">
    <cfRule type="expression" dxfId="9" priority="8">
      <formula>MOD(ROW(),2)=0</formula>
    </cfRule>
  </conditionalFormatting>
  <conditionalFormatting sqref="A19:XFD23">
    <cfRule type="expression" dxfId="8" priority="7">
      <formula>MOD(ROW(),2)=0</formula>
    </cfRule>
  </conditionalFormatting>
  <conditionalFormatting sqref="A24:XFD32">
    <cfRule type="expression" dxfId="7" priority="6">
      <formula>MOD(ROW(),2)=0</formula>
    </cfRule>
  </conditionalFormatting>
  <conditionalFormatting sqref="A33:A37">
    <cfRule type="expression" dxfId="6" priority="5">
      <formula>MOD(ROW(),2)=0</formula>
    </cfRule>
  </conditionalFormatting>
  <conditionalFormatting sqref="A38:XFD41">
    <cfRule type="expression" dxfId="5" priority="4">
      <formula>MOD(ROW(),2)=0</formula>
    </cfRule>
  </conditionalFormatting>
  <conditionalFormatting sqref="A43:XFD44 A42:V42 AA42:XFD42">
    <cfRule type="expression" dxfId="4" priority="3">
      <formula>MOD(ROW(),2)=0</formula>
    </cfRule>
  </conditionalFormatting>
  <conditionalFormatting sqref="A19:XFD20">
    <cfRule type="expression" dxfId="3" priority="2">
      <formula>MOD(ROW(),2)=0</formula>
    </cfRule>
  </conditionalFormatting>
  <conditionalFormatting sqref="W42:Z42">
    <cfRule type="expression" dxfId="2" priority="1">
      <formula>MOD(ROW(),2)=0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4:M16"/>
  <sheetViews>
    <sheetView topLeftCell="A50" workbookViewId="0">
      <selection activeCell="Q14" sqref="Q14"/>
    </sheetView>
  </sheetViews>
  <sheetFormatPr defaultRowHeight="14.4" x14ac:dyDescent="0.3"/>
  <sheetData>
    <row r="4" spans="12:13" x14ac:dyDescent="0.3">
      <c r="L4">
        <v>0</v>
      </c>
      <c r="M4">
        <v>0</v>
      </c>
    </row>
    <row r="5" spans="12:13" x14ac:dyDescent="0.3">
      <c r="L5">
        <v>100</v>
      </c>
      <c r="M5">
        <v>100</v>
      </c>
    </row>
    <row r="6" spans="12:13" x14ac:dyDescent="0.3">
      <c r="L6">
        <v>200</v>
      </c>
      <c r="M6">
        <v>200</v>
      </c>
    </row>
    <row r="7" spans="12:13" x14ac:dyDescent="0.3">
      <c r="L7">
        <v>300</v>
      </c>
      <c r="M7">
        <v>300</v>
      </c>
    </row>
    <row r="8" spans="12:13" x14ac:dyDescent="0.3">
      <c r="L8">
        <v>400</v>
      </c>
      <c r="M8">
        <v>400</v>
      </c>
    </row>
    <row r="9" spans="12:13" x14ac:dyDescent="0.3">
      <c r="L9">
        <v>500</v>
      </c>
      <c r="M9">
        <v>500</v>
      </c>
    </row>
    <row r="10" spans="12:13" x14ac:dyDescent="0.3">
      <c r="L10">
        <v>600</v>
      </c>
      <c r="M10">
        <v>600</v>
      </c>
    </row>
    <row r="11" spans="12:13" x14ac:dyDescent="0.3">
      <c r="L11">
        <v>700</v>
      </c>
      <c r="M11">
        <v>700</v>
      </c>
    </row>
    <row r="12" spans="12:13" x14ac:dyDescent="0.3">
      <c r="L12">
        <v>800</v>
      </c>
      <c r="M12">
        <v>800</v>
      </c>
    </row>
    <row r="13" spans="12:13" x14ac:dyDescent="0.3">
      <c r="L13">
        <v>900</v>
      </c>
      <c r="M13">
        <v>900</v>
      </c>
    </row>
    <row r="14" spans="12:13" x14ac:dyDescent="0.3">
      <c r="L14">
        <v>1000</v>
      </c>
      <c r="M14">
        <v>1000</v>
      </c>
    </row>
    <row r="15" spans="12:13" x14ac:dyDescent="0.3">
      <c r="L15">
        <v>1100</v>
      </c>
      <c r="M15">
        <v>1100</v>
      </c>
    </row>
    <row r="16" spans="12:13" x14ac:dyDescent="0.3">
      <c r="L16">
        <v>1200</v>
      </c>
      <c r="M16">
        <v>1200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0"/>
  <sheetViews>
    <sheetView zoomScaleNormal="100" workbookViewId="0">
      <pane ySplit="2" topLeftCell="A3" activePane="bottomLeft" state="frozen"/>
      <selection activeCell="H1" sqref="H1"/>
      <selection pane="bottomLeft" activeCell="N14" sqref="N14"/>
    </sheetView>
  </sheetViews>
  <sheetFormatPr defaultRowHeight="14.4" x14ac:dyDescent="0.3"/>
  <cols>
    <col min="1" max="1" width="8.88671875" style="1"/>
    <col min="2" max="2" width="4.21875" style="1" customWidth="1"/>
    <col min="3" max="3" width="5.77734375" style="1" customWidth="1"/>
    <col min="4" max="4" width="9.109375" style="1" customWidth="1"/>
    <col min="5" max="5" width="8.88671875" style="1"/>
    <col min="6" max="6" width="12.109375" style="1" bestFit="1" customWidth="1"/>
    <col min="7" max="7" width="12.109375" style="1" customWidth="1"/>
    <col min="8" max="9" width="12.109375" style="5" customWidth="1"/>
    <col min="10" max="10" width="11.44140625" style="5" bestFit="1" customWidth="1"/>
    <col min="11" max="11" width="8.88671875" style="24"/>
    <col min="12" max="12" width="8.88671875" style="21"/>
    <col min="13" max="14" width="8.88671875" style="10"/>
    <col min="15" max="15" width="9.44140625" style="10" customWidth="1"/>
    <col min="16" max="17" width="0.109375" style="10" customWidth="1"/>
    <col min="18" max="19" width="8.88671875" style="10"/>
    <col min="20" max="20" width="13.77734375" style="1" bestFit="1" customWidth="1"/>
    <col min="21" max="21" width="7.33203125" style="5" bestFit="1" customWidth="1"/>
    <col min="22" max="25" width="8.88671875" style="1"/>
    <col min="26" max="26" width="6.88671875" style="1" bestFit="1" customWidth="1"/>
    <col min="27" max="33" width="6.88671875" style="1" customWidth="1"/>
    <col min="34" max="36" width="8.88671875" style="1"/>
    <col min="37" max="37" width="54.88671875" style="1" bestFit="1" customWidth="1"/>
    <col min="38" max="16384" width="8.88671875" style="1"/>
  </cols>
  <sheetData>
    <row r="1" spans="1:37" x14ac:dyDescent="0.3">
      <c r="K1" s="23" t="s">
        <v>110</v>
      </c>
      <c r="L1" s="20"/>
      <c r="M1" s="8"/>
      <c r="N1" s="8"/>
      <c r="O1" s="8"/>
      <c r="P1" s="8"/>
      <c r="Q1" s="8"/>
      <c r="R1" s="8"/>
      <c r="S1" s="8"/>
    </row>
    <row r="2" spans="1:37" x14ac:dyDescent="0.3">
      <c r="A2" s="1" t="s">
        <v>0</v>
      </c>
      <c r="B2" s="1" t="s">
        <v>7</v>
      </c>
      <c r="C2" s="1" t="s">
        <v>11</v>
      </c>
      <c r="D2" s="1" t="s">
        <v>1</v>
      </c>
      <c r="E2" s="1" t="s">
        <v>2</v>
      </c>
      <c r="F2" s="1" t="s">
        <v>65</v>
      </c>
      <c r="G2" s="1" t="s">
        <v>73</v>
      </c>
      <c r="H2" s="5" t="s">
        <v>3</v>
      </c>
      <c r="I2" s="5" t="s">
        <v>61</v>
      </c>
      <c r="J2" s="5" t="s">
        <v>35</v>
      </c>
      <c r="K2" s="24" t="s">
        <v>49</v>
      </c>
      <c r="L2" s="21" t="s">
        <v>123</v>
      </c>
      <c r="O2" s="10" t="s">
        <v>32</v>
      </c>
      <c r="P2" s="10" t="s">
        <v>33</v>
      </c>
      <c r="Q2" s="10" t="s">
        <v>34</v>
      </c>
      <c r="R2" s="10" t="s">
        <v>112</v>
      </c>
      <c r="S2" s="10" t="s">
        <v>113</v>
      </c>
      <c r="T2" s="1" t="s">
        <v>19</v>
      </c>
      <c r="U2" s="5" t="s">
        <v>31</v>
      </c>
      <c r="V2" s="1" t="s">
        <v>4</v>
      </c>
      <c r="W2" s="1" t="s">
        <v>18</v>
      </c>
      <c r="X2" s="1" t="s">
        <v>5</v>
      </c>
      <c r="Y2" s="1" t="s">
        <v>124</v>
      </c>
      <c r="Z2" s="1" t="s">
        <v>5</v>
      </c>
      <c r="AH2" s="1" t="s">
        <v>36</v>
      </c>
      <c r="AI2" s="1" t="s">
        <v>37</v>
      </c>
      <c r="AJ2" s="1" t="s">
        <v>6</v>
      </c>
      <c r="AK2" s="1" t="s">
        <v>48</v>
      </c>
    </row>
    <row r="3" spans="1:37" x14ac:dyDescent="0.3">
      <c r="A3" s="1">
        <v>5385</v>
      </c>
      <c r="B3" s="1" t="s">
        <v>8</v>
      </c>
      <c r="C3" s="1">
        <v>1000</v>
      </c>
      <c r="D3" s="1">
        <f>0.1*C3</f>
        <v>100</v>
      </c>
      <c r="E3" s="1" t="s">
        <v>12</v>
      </c>
      <c r="F3" s="1" t="s">
        <v>59</v>
      </c>
      <c r="G3" s="1" t="s">
        <v>72</v>
      </c>
      <c r="H3" s="5" t="s">
        <v>74</v>
      </c>
      <c r="I3" s="5" t="s">
        <v>75</v>
      </c>
      <c r="J3" s="5">
        <v>29</v>
      </c>
      <c r="K3" s="24">
        <v>971.55600000000004</v>
      </c>
      <c r="L3" s="21">
        <f>K3/COS(Y3)</f>
        <v>971.55600000000004</v>
      </c>
      <c r="M3" s="10">
        <f>AVERAGE(L3:L6)</f>
        <v>946.02107057218291</v>
      </c>
      <c r="O3" s="10">
        <v>64.210999999999999</v>
      </c>
      <c r="P3" s="10">
        <v>859.68399999999997</v>
      </c>
      <c r="Q3" s="10">
        <v>1096.838</v>
      </c>
      <c r="R3" s="10">
        <f>AVERAGE(K3:K8)</f>
        <v>948.57924242424235</v>
      </c>
      <c r="S3" s="10">
        <f>STDEV(K3:K8)</f>
        <v>23.525143273216067</v>
      </c>
      <c r="T3" s="1" t="s">
        <v>14</v>
      </c>
      <c r="U3" s="5">
        <v>1</v>
      </c>
      <c r="V3" s="1" t="s">
        <v>15</v>
      </c>
      <c r="W3" s="1" t="s">
        <v>16</v>
      </c>
      <c r="X3" s="1">
        <v>0</v>
      </c>
      <c r="Y3" s="1">
        <f>X3/180*PI()</f>
        <v>0</v>
      </c>
      <c r="Z3" s="1" t="s">
        <v>17</v>
      </c>
      <c r="AA3" s="1">
        <f>STDEV(K3:K4)</f>
        <v>30.732274923929722</v>
      </c>
      <c r="AB3" s="3" t="s">
        <v>115</v>
      </c>
      <c r="AH3" s="1">
        <v>97.5</v>
      </c>
      <c r="AI3" s="1">
        <v>968</v>
      </c>
      <c r="AJ3" s="1">
        <f>AH3/AI3</f>
        <v>0.10072314049586777</v>
      </c>
    </row>
    <row r="4" spans="1:37" x14ac:dyDescent="0.3">
      <c r="A4" s="1">
        <v>5385</v>
      </c>
      <c r="B4" s="1" t="s">
        <v>8</v>
      </c>
      <c r="C4" s="1">
        <v>1000</v>
      </c>
      <c r="D4" s="1">
        <f>0.1*C4</f>
        <v>100</v>
      </c>
      <c r="E4" s="1" t="s">
        <v>12</v>
      </c>
      <c r="F4" s="1" t="s">
        <v>59</v>
      </c>
      <c r="G4" s="1" t="s">
        <v>72</v>
      </c>
      <c r="H4" s="5" t="s">
        <v>74</v>
      </c>
      <c r="I4" s="5" t="s">
        <v>75</v>
      </c>
      <c r="J4" s="5">
        <v>26</v>
      </c>
      <c r="K4" s="24">
        <v>928.09400000000005</v>
      </c>
      <c r="L4" s="21">
        <f t="shared" ref="L4:L26" si="0">K4/COS(Y4)</f>
        <v>928.09400000000005</v>
      </c>
      <c r="O4" s="10">
        <v>34.786999999999999</v>
      </c>
      <c r="P4" s="10">
        <v>859.68399999999997</v>
      </c>
      <c r="Q4" s="10">
        <v>988.14200000000005</v>
      </c>
      <c r="T4" s="1" t="s">
        <v>14</v>
      </c>
      <c r="U4" s="5">
        <v>2</v>
      </c>
      <c r="V4" s="1" t="s">
        <v>15</v>
      </c>
      <c r="W4" s="1" t="s">
        <v>16</v>
      </c>
      <c r="X4" s="1">
        <v>0</v>
      </c>
      <c r="Y4" s="1">
        <f t="shared" ref="Y4:Y26" si="1">X4/180*PI()</f>
        <v>0</v>
      </c>
      <c r="Z4" s="1" t="s">
        <v>17</v>
      </c>
      <c r="AA4" s="3">
        <f>AVERAGE(K5,AVERAGE(K3:K4))</f>
        <v>932.95700000000011</v>
      </c>
      <c r="AB4" s="1" t="s">
        <v>116</v>
      </c>
      <c r="AH4" s="1">
        <v>90</v>
      </c>
      <c r="AI4" s="1">
        <v>899</v>
      </c>
      <c r="AJ4" s="1">
        <f t="shared" ref="AJ4:AJ8" si="2">AH4/AI4</f>
        <v>0.10011123470522804</v>
      </c>
    </row>
    <row r="5" spans="1:37" x14ac:dyDescent="0.3">
      <c r="A5" s="1">
        <v>5385</v>
      </c>
      <c r="B5" s="1" t="s">
        <v>8</v>
      </c>
      <c r="C5" s="1">
        <v>1000</v>
      </c>
      <c r="D5" s="1">
        <f t="shared" ref="D5:D8" si="3">0.1*C5</f>
        <v>100</v>
      </c>
      <c r="E5" s="1" t="s">
        <v>12</v>
      </c>
      <c r="F5" s="1" t="s">
        <v>59</v>
      </c>
      <c r="G5" s="1" t="s">
        <v>72</v>
      </c>
      <c r="H5" s="5" t="s">
        <v>76</v>
      </c>
      <c r="I5" s="5" t="s">
        <v>77</v>
      </c>
      <c r="J5" s="5">
        <v>20</v>
      </c>
      <c r="K5" s="25">
        <v>916.08900000000006</v>
      </c>
      <c r="L5" s="21">
        <f t="shared" si="0"/>
        <v>916.08900000000006</v>
      </c>
      <c r="M5" s="19"/>
      <c r="N5" s="19"/>
      <c r="O5" s="19">
        <v>37.131999999999998</v>
      </c>
      <c r="P5" s="19">
        <v>836.63400000000001</v>
      </c>
      <c r="Q5" s="19">
        <v>975.24800000000005</v>
      </c>
      <c r="R5" s="18"/>
      <c r="S5" s="18"/>
      <c r="T5" s="1" t="s">
        <v>20</v>
      </c>
      <c r="U5" s="5" t="s">
        <v>114</v>
      </c>
      <c r="V5" s="1" t="s">
        <v>15</v>
      </c>
      <c r="W5" s="1" t="s">
        <v>16</v>
      </c>
      <c r="X5" s="1">
        <v>0</v>
      </c>
      <c r="Y5" s="1">
        <f t="shared" si="1"/>
        <v>0</v>
      </c>
      <c r="Z5" s="1" t="s">
        <v>17</v>
      </c>
    </row>
    <row r="6" spans="1:37" x14ac:dyDescent="0.3">
      <c r="A6" s="1">
        <v>5385</v>
      </c>
      <c r="B6" s="1" t="s">
        <v>8</v>
      </c>
      <c r="C6" s="1">
        <v>1000</v>
      </c>
      <c r="D6" s="1">
        <f>0.1*C6</f>
        <v>100</v>
      </c>
      <c r="E6" s="1" t="s">
        <v>12</v>
      </c>
      <c r="F6" s="1" t="s">
        <v>78</v>
      </c>
      <c r="G6" s="1" t="s">
        <v>72</v>
      </c>
      <c r="H6" s="5" t="s">
        <v>70</v>
      </c>
      <c r="I6" s="5" t="s">
        <v>67</v>
      </c>
      <c r="J6" s="5">
        <v>46</v>
      </c>
      <c r="K6" s="24">
        <v>968.01345454545447</v>
      </c>
      <c r="L6" s="21">
        <f t="shared" si="0"/>
        <v>968.34528228873182</v>
      </c>
      <c r="O6" s="10">
        <v>9.9781403922931347</v>
      </c>
      <c r="P6" s="10">
        <v>950.61699999999996</v>
      </c>
      <c r="Q6" s="10">
        <v>990.12300000000005</v>
      </c>
      <c r="T6" s="1" t="s">
        <v>30</v>
      </c>
      <c r="U6" s="5">
        <v>1</v>
      </c>
      <c r="V6" s="1" t="s">
        <v>15</v>
      </c>
      <c r="W6" s="1" t="s">
        <v>28</v>
      </c>
      <c r="X6" s="1">
        <v>-1.5</v>
      </c>
      <c r="Y6" s="1">
        <f t="shared" si="1"/>
        <v>-2.6179938779914941E-2</v>
      </c>
      <c r="Z6" s="1" t="s">
        <v>29</v>
      </c>
      <c r="AA6" s="1">
        <f>COS(-1.5/180*PI())*$AA$4</f>
        <v>932.63729893722109</v>
      </c>
      <c r="AB6" s="1" t="s">
        <v>117</v>
      </c>
      <c r="AH6" s="1">
        <v>390</v>
      </c>
      <c r="AI6" s="1">
        <v>967</v>
      </c>
      <c r="AJ6" s="1">
        <f t="shared" si="2"/>
        <v>0.40330920372285417</v>
      </c>
    </row>
    <row r="7" spans="1:37" x14ac:dyDescent="0.3">
      <c r="A7" s="1">
        <v>5385</v>
      </c>
      <c r="B7" s="1" t="s">
        <v>8</v>
      </c>
      <c r="C7" s="1">
        <v>1000</v>
      </c>
      <c r="D7" s="1">
        <f>0.1*C7</f>
        <v>100</v>
      </c>
      <c r="E7" s="1" t="s">
        <v>12</v>
      </c>
      <c r="F7" s="1" t="s">
        <v>79</v>
      </c>
      <c r="G7" s="1" t="s">
        <v>80</v>
      </c>
      <c r="H7" s="5" t="s">
        <v>70</v>
      </c>
      <c r="I7" s="5" t="s">
        <v>67</v>
      </c>
      <c r="J7" s="5">
        <v>30</v>
      </c>
      <c r="K7" s="24">
        <v>941.00699999999995</v>
      </c>
      <c r="L7" s="21">
        <f t="shared" si="0"/>
        <v>943.30484318766958</v>
      </c>
      <c r="M7" s="10">
        <f>AVERAGE(L7:L8)</f>
        <v>955.30504970702464</v>
      </c>
      <c r="O7" s="10">
        <v>8.0950000000000006</v>
      </c>
      <c r="P7" s="10">
        <v>915.84199999999998</v>
      </c>
      <c r="Q7" s="10">
        <v>952.97</v>
      </c>
      <c r="T7" s="1" t="s">
        <v>27</v>
      </c>
      <c r="U7" s="5">
        <v>1</v>
      </c>
      <c r="V7" s="1" t="s">
        <v>15</v>
      </c>
      <c r="W7" s="1" t="s">
        <v>23</v>
      </c>
      <c r="X7" s="1">
        <v>-4</v>
      </c>
      <c r="Y7" s="1">
        <f t="shared" si="1"/>
        <v>-6.9813170079773182E-2</v>
      </c>
      <c r="Z7" s="1" t="s">
        <v>26</v>
      </c>
      <c r="AA7" s="1">
        <f>COS(-4/180*PI())*$AA$4</f>
        <v>930.68436363825492</v>
      </c>
      <c r="AH7" s="1">
        <v>374</v>
      </c>
      <c r="AI7" s="1">
        <v>930</v>
      </c>
      <c r="AJ7" s="1">
        <f t="shared" si="2"/>
        <v>0.40215053763440861</v>
      </c>
    </row>
    <row r="8" spans="1:37" x14ac:dyDescent="0.3">
      <c r="A8" s="1">
        <v>5385</v>
      </c>
      <c r="B8" s="1" t="s">
        <v>8</v>
      </c>
      <c r="C8" s="1">
        <v>1000</v>
      </c>
      <c r="D8" s="1">
        <f t="shared" si="3"/>
        <v>100</v>
      </c>
      <c r="E8" s="1" t="s">
        <v>12</v>
      </c>
      <c r="F8" s="1" t="s">
        <v>79</v>
      </c>
      <c r="G8" s="1" t="s">
        <v>80</v>
      </c>
      <c r="H8" s="5" t="s">
        <v>70</v>
      </c>
      <c r="I8" s="5" t="s">
        <v>67</v>
      </c>
      <c r="J8" s="5">
        <v>25</v>
      </c>
      <c r="K8" s="24">
        <v>966.71600000000001</v>
      </c>
      <c r="L8" s="21">
        <f t="shared" si="0"/>
        <v>967.30525622637981</v>
      </c>
      <c r="O8" s="10">
        <v>13.731</v>
      </c>
      <c r="P8" s="10">
        <v>938.27200000000005</v>
      </c>
      <c r="Q8" s="10">
        <v>995.06200000000001</v>
      </c>
      <c r="T8" s="1" t="s">
        <v>25</v>
      </c>
      <c r="U8" s="5">
        <v>1</v>
      </c>
      <c r="V8" s="1" t="s">
        <v>22</v>
      </c>
      <c r="W8" s="1" t="s">
        <v>23</v>
      </c>
      <c r="X8" s="1">
        <v>-2</v>
      </c>
      <c r="Y8" s="1">
        <f t="shared" si="1"/>
        <v>-3.4906585039886591E-2</v>
      </c>
      <c r="Z8" s="1" t="s">
        <v>24</v>
      </c>
      <c r="AA8" s="1">
        <f>COS(-2/180*PI())*$AA$4</f>
        <v>932.38866780325463</v>
      </c>
      <c r="AB8" s="1">
        <f>STDEV(AA6:AA8)</f>
        <v>1.0630480084455958</v>
      </c>
      <c r="AC8" s="1" t="s">
        <v>118</v>
      </c>
      <c r="AH8" s="1">
        <v>383</v>
      </c>
      <c r="AI8" s="1">
        <v>950</v>
      </c>
      <c r="AJ8" s="1">
        <f t="shared" si="2"/>
        <v>0.4031578947368421</v>
      </c>
    </row>
    <row r="9" spans="1:37" x14ac:dyDescent="0.3">
      <c r="AB9" s="1">
        <f>AB8/AA4*100</f>
        <v>0.11394394473117149</v>
      </c>
      <c r="AC9" s="1" t="s">
        <v>119</v>
      </c>
    </row>
    <row r="11" spans="1:37" x14ac:dyDescent="0.3">
      <c r="AB11" s="1" t="s">
        <v>121</v>
      </c>
    </row>
    <row r="12" spans="1:37" x14ac:dyDescent="0.3">
      <c r="A12" s="1">
        <v>3057</v>
      </c>
      <c r="B12" s="1" t="s">
        <v>9</v>
      </c>
      <c r="C12" s="1">
        <v>870</v>
      </c>
      <c r="D12" s="1">
        <f t="shared" ref="D12:D20" si="4">0.1*C12</f>
        <v>87</v>
      </c>
      <c r="E12" s="1" t="s">
        <v>12</v>
      </c>
      <c r="F12" s="1" t="s">
        <v>79</v>
      </c>
      <c r="G12" s="1" t="s">
        <v>81</v>
      </c>
      <c r="H12" s="5" t="s">
        <v>39</v>
      </c>
      <c r="I12" s="5" t="s">
        <v>63</v>
      </c>
      <c r="J12" s="5">
        <v>16</v>
      </c>
      <c r="K12" s="24">
        <v>749.13499999999999</v>
      </c>
      <c r="L12" s="21">
        <f t="shared" si="0"/>
        <v>749.13499999999999</v>
      </c>
      <c r="M12" s="10">
        <f>AVERAGE(K12:K16)</f>
        <v>806.19799999999998</v>
      </c>
      <c r="O12" s="10">
        <v>12.695</v>
      </c>
      <c r="P12" s="10">
        <v>729.24900000000002</v>
      </c>
      <c r="Q12" s="10">
        <v>768.77499999999998</v>
      </c>
      <c r="R12" s="10">
        <f>AVERAGE(K12:K20)</f>
        <v>828.61866009852213</v>
      </c>
      <c r="S12" s="10">
        <f>STDEV(K12:K20)</f>
        <v>41.640702375374012</v>
      </c>
      <c r="T12" s="1" t="s">
        <v>14</v>
      </c>
      <c r="U12" s="5">
        <v>1</v>
      </c>
      <c r="V12" s="1" t="s">
        <v>22</v>
      </c>
      <c r="W12" s="1" t="s">
        <v>28</v>
      </c>
      <c r="X12" s="1">
        <v>0</v>
      </c>
      <c r="Y12" s="1">
        <f t="shared" si="1"/>
        <v>0</v>
      </c>
      <c r="Z12" s="1" t="s">
        <v>38</v>
      </c>
      <c r="AA12" s="3">
        <f>R12</f>
        <v>828.61866009852213</v>
      </c>
      <c r="AB12" s="1">
        <f>ABS(K12-AA12)/AVERAGE(K12,AA12)</f>
        <v>0.10075547546954676</v>
      </c>
    </row>
    <row r="13" spans="1:37" x14ac:dyDescent="0.3">
      <c r="A13" s="1">
        <v>3057</v>
      </c>
      <c r="B13" s="1" t="s">
        <v>9</v>
      </c>
      <c r="C13" s="1">
        <v>870</v>
      </c>
      <c r="D13" s="1">
        <f t="shared" si="4"/>
        <v>87</v>
      </c>
      <c r="E13" s="1" t="s">
        <v>12</v>
      </c>
      <c r="F13" s="1" t="s">
        <v>79</v>
      </c>
      <c r="G13" s="1" t="s">
        <v>81</v>
      </c>
      <c r="H13" s="5" t="s">
        <v>39</v>
      </c>
      <c r="I13" s="5" t="s">
        <v>67</v>
      </c>
      <c r="J13" s="5">
        <v>17</v>
      </c>
      <c r="K13" s="24">
        <v>808.41700000000003</v>
      </c>
      <c r="L13" s="21">
        <f t="shared" si="0"/>
        <v>808.77297323988728</v>
      </c>
      <c r="O13" s="10">
        <v>19.344000000000001</v>
      </c>
      <c r="P13" s="10">
        <v>768.77499999999998</v>
      </c>
      <c r="Q13" s="10">
        <v>835.96799999999996</v>
      </c>
      <c r="T13" s="1" t="s">
        <v>20</v>
      </c>
      <c r="U13" s="5">
        <v>1</v>
      </c>
      <c r="V13" s="1" t="s">
        <v>22</v>
      </c>
      <c r="W13" s="1" t="s">
        <v>16</v>
      </c>
      <c r="X13" s="1">
        <v>-1.7</v>
      </c>
      <c r="Y13" s="1">
        <f t="shared" si="1"/>
        <v>-2.9670597283903602E-2</v>
      </c>
      <c r="Z13" s="1" t="s">
        <v>40</v>
      </c>
      <c r="AA13" s="1">
        <f>COS(-1.7/180*PI())*$R$12</f>
        <v>828.25395198039018</v>
      </c>
      <c r="AB13" s="1">
        <f>ABS(K13-AA13)/AVERAGE(K13,AA13)</f>
        <v>2.4240611048161168E-2</v>
      </c>
    </row>
    <row r="14" spans="1:37" x14ac:dyDescent="0.3">
      <c r="Y14" s="1">
        <f t="shared" si="1"/>
        <v>0</v>
      </c>
    </row>
    <row r="15" spans="1:37" x14ac:dyDescent="0.3">
      <c r="Y15" s="1">
        <f t="shared" si="1"/>
        <v>0</v>
      </c>
      <c r="AA15" s="1" t="s">
        <v>122</v>
      </c>
    </row>
    <row r="16" spans="1:37" x14ac:dyDescent="0.3">
      <c r="A16" s="1">
        <v>3057</v>
      </c>
      <c r="B16" s="1" t="s">
        <v>9</v>
      </c>
      <c r="C16" s="1">
        <v>870</v>
      </c>
      <c r="D16" s="1">
        <f t="shared" si="4"/>
        <v>87</v>
      </c>
      <c r="E16" s="1" t="s">
        <v>12</v>
      </c>
      <c r="F16" s="1" t="s">
        <v>79</v>
      </c>
      <c r="G16" s="1" t="s">
        <v>81</v>
      </c>
      <c r="H16" s="5" t="s">
        <v>39</v>
      </c>
      <c r="I16" s="5" t="s">
        <v>67</v>
      </c>
      <c r="J16" s="5">
        <v>16</v>
      </c>
      <c r="K16" s="24">
        <v>861.04200000000003</v>
      </c>
      <c r="L16" s="21">
        <f t="shared" si="0"/>
        <v>861.86230193839538</v>
      </c>
      <c r="O16" s="10">
        <v>6.2789999999999999</v>
      </c>
      <c r="P16" s="10">
        <v>847.82600000000002</v>
      </c>
      <c r="Q16" s="10">
        <v>871.54200000000003</v>
      </c>
      <c r="T16" s="1" t="s">
        <v>42</v>
      </c>
      <c r="U16" s="5">
        <v>1</v>
      </c>
      <c r="V16" s="1" t="s">
        <v>22</v>
      </c>
      <c r="W16" s="1" t="s">
        <v>28</v>
      </c>
      <c r="X16" s="1">
        <v>2.5</v>
      </c>
      <c r="Y16" s="1">
        <f t="shared" si="1"/>
        <v>4.3633231299858237E-2</v>
      </c>
      <c r="Z16" s="1" t="s">
        <v>41</v>
      </c>
      <c r="AA16" s="1">
        <f>COS(2.5/180*PI())*$R$12</f>
        <v>827.8299987409705</v>
      </c>
      <c r="AB16" s="1">
        <f>ABS(K16-AA16)/AVERAGE(K16,AA16)</f>
        <v>3.9330394824224214E-2</v>
      </c>
    </row>
    <row r="17" spans="1:37" x14ac:dyDescent="0.3">
      <c r="A17" s="1">
        <v>3057</v>
      </c>
      <c r="B17" s="1" t="s">
        <v>9</v>
      </c>
      <c r="C17" s="1">
        <v>870</v>
      </c>
      <c r="D17" s="1">
        <f t="shared" si="4"/>
        <v>87</v>
      </c>
      <c r="E17" s="1" t="s">
        <v>12</v>
      </c>
      <c r="F17" s="1" t="s">
        <v>79</v>
      </c>
      <c r="G17" s="1" t="s">
        <v>81</v>
      </c>
      <c r="H17" s="5" t="s">
        <v>39</v>
      </c>
      <c r="I17" s="5" t="s">
        <v>67</v>
      </c>
      <c r="J17" s="5">
        <v>19</v>
      </c>
      <c r="K17" s="24">
        <v>876.63800000000003</v>
      </c>
      <c r="L17" s="21">
        <f t="shared" si="0"/>
        <v>877.47316001620254</v>
      </c>
      <c r="M17" s="10">
        <f>AVERAGE(K17:K20)</f>
        <v>845.43415517241374</v>
      </c>
      <c r="O17" s="10">
        <v>7.8310000000000004</v>
      </c>
      <c r="P17" s="10">
        <v>861.66</v>
      </c>
      <c r="Q17" s="10">
        <v>893.28099999999995</v>
      </c>
      <c r="T17" s="1" t="s">
        <v>43</v>
      </c>
      <c r="U17" s="5">
        <v>1</v>
      </c>
      <c r="V17" s="1" t="s">
        <v>22</v>
      </c>
      <c r="W17" s="1" t="s">
        <v>23</v>
      </c>
      <c r="X17" s="1">
        <v>2.5</v>
      </c>
      <c r="Y17" s="1">
        <f t="shared" si="1"/>
        <v>4.3633231299858237E-2</v>
      </c>
      <c r="Z17" s="1" t="s">
        <v>41</v>
      </c>
    </row>
    <row r="18" spans="1:37" x14ac:dyDescent="0.3">
      <c r="A18" s="1">
        <v>3057</v>
      </c>
      <c r="B18" s="1" t="s">
        <v>9</v>
      </c>
      <c r="C18" s="1">
        <v>870</v>
      </c>
      <c r="D18" s="1">
        <f t="shared" si="4"/>
        <v>87</v>
      </c>
      <c r="E18" s="1" t="s">
        <v>12</v>
      </c>
      <c r="F18" s="1" t="s">
        <v>79</v>
      </c>
      <c r="G18" s="1" t="s">
        <v>82</v>
      </c>
      <c r="H18" s="5" t="s">
        <v>39</v>
      </c>
      <c r="I18" s="5" t="s">
        <v>67</v>
      </c>
      <c r="J18" s="5">
        <v>25</v>
      </c>
      <c r="K18" s="24">
        <v>844.42700000000002</v>
      </c>
      <c r="L18" s="21">
        <f t="shared" si="0"/>
        <v>844.42700000000002</v>
      </c>
      <c r="O18" s="10">
        <v>11.231</v>
      </c>
      <c r="P18" s="10">
        <v>826.08699999999999</v>
      </c>
      <c r="Q18" s="10">
        <v>865.61300000000006</v>
      </c>
      <c r="T18" s="1" t="s">
        <v>20</v>
      </c>
      <c r="U18" s="5">
        <v>1</v>
      </c>
      <c r="V18" s="1" t="s">
        <v>44</v>
      </c>
      <c r="W18" s="1" t="s">
        <v>23</v>
      </c>
      <c r="X18" s="1">
        <v>0</v>
      </c>
      <c r="Y18" s="1">
        <f t="shared" si="1"/>
        <v>0</v>
      </c>
      <c r="Z18" s="1" t="s">
        <v>38</v>
      </c>
    </row>
    <row r="19" spans="1:37" x14ac:dyDescent="0.3">
      <c r="A19" s="1">
        <v>3057</v>
      </c>
      <c r="B19" s="1" t="s">
        <v>9</v>
      </c>
      <c r="C19" s="1">
        <v>870</v>
      </c>
      <c r="D19" s="1">
        <f t="shared" si="4"/>
        <v>87</v>
      </c>
      <c r="E19" s="1" t="s">
        <v>12</v>
      </c>
      <c r="F19" s="1" t="s">
        <v>79</v>
      </c>
      <c r="G19" s="1" t="s">
        <v>83</v>
      </c>
      <c r="H19" s="5" t="s">
        <v>39</v>
      </c>
      <c r="I19" s="5" t="s">
        <v>67</v>
      </c>
      <c r="J19" s="5">
        <v>27</v>
      </c>
      <c r="K19" s="24">
        <v>824.63499999999999</v>
      </c>
      <c r="L19" s="21">
        <f t="shared" si="0"/>
        <v>824.63499999999999</v>
      </c>
      <c r="O19" s="10">
        <v>18.516999999999999</v>
      </c>
      <c r="P19" s="10">
        <v>796.44299999999998</v>
      </c>
      <c r="Q19" s="10">
        <v>856.06</v>
      </c>
      <c r="T19" s="1" t="s">
        <v>43</v>
      </c>
      <c r="U19" s="5">
        <v>1</v>
      </c>
      <c r="V19" s="1" t="s">
        <v>44</v>
      </c>
      <c r="W19" s="1" t="s">
        <v>45</v>
      </c>
      <c r="X19" s="1">
        <v>0</v>
      </c>
      <c r="Y19" s="1">
        <f t="shared" si="1"/>
        <v>0</v>
      </c>
      <c r="Z19" s="1" t="s">
        <v>38</v>
      </c>
    </row>
    <row r="20" spans="1:37" x14ac:dyDescent="0.3">
      <c r="A20" s="1">
        <v>3057</v>
      </c>
      <c r="B20" s="1" t="s">
        <v>9</v>
      </c>
      <c r="C20" s="1">
        <v>870</v>
      </c>
      <c r="D20" s="1">
        <f t="shared" si="4"/>
        <v>87</v>
      </c>
      <c r="E20" s="1" t="s">
        <v>12</v>
      </c>
      <c r="F20" s="1" t="s">
        <v>79</v>
      </c>
      <c r="G20" s="1" t="s">
        <v>84</v>
      </c>
      <c r="H20" s="5" t="s">
        <v>39</v>
      </c>
      <c r="I20" s="5" t="s">
        <v>67</v>
      </c>
      <c r="J20" s="5">
        <v>29</v>
      </c>
      <c r="K20" s="24">
        <v>836.03662068965491</v>
      </c>
      <c r="L20" s="21">
        <f t="shared" si="0"/>
        <v>836.03662068965491</v>
      </c>
      <c r="O20" s="10">
        <v>6.7739853400121701</v>
      </c>
      <c r="P20" s="10">
        <v>820.15800000000002</v>
      </c>
      <c r="Q20" s="10">
        <v>845.85</v>
      </c>
      <c r="T20" s="1" t="s">
        <v>47</v>
      </c>
      <c r="U20" s="5">
        <v>1</v>
      </c>
      <c r="V20" s="1" t="s">
        <v>44</v>
      </c>
      <c r="W20" s="1" t="s">
        <v>46</v>
      </c>
      <c r="X20" s="1">
        <v>0</v>
      </c>
      <c r="Y20" s="1">
        <f t="shared" si="1"/>
        <v>0</v>
      </c>
      <c r="Z20" s="1" t="s">
        <v>38</v>
      </c>
    </row>
    <row r="23" spans="1:37" x14ac:dyDescent="0.3">
      <c r="A23" s="1">
        <v>7029</v>
      </c>
      <c r="B23" s="1" t="s">
        <v>8</v>
      </c>
      <c r="C23" s="1">
        <v>225</v>
      </c>
      <c r="D23" s="1">
        <f>0.1*C23</f>
        <v>22.5</v>
      </c>
      <c r="E23" s="1" t="s">
        <v>100</v>
      </c>
      <c r="F23" s="1" t="s">
        <v>62</v>
      </c>
      <c r="G23" s="1" t="s">
        <v>97</v>
      </c>
      <c r="H23" s="5" t="s">
        <v>98</v>
      </c>
      <c r="I23" s="5" t="s">
        <v>99</v>
      </c>
      <c r="J23" s="4">
        <v>17</v>
      </c>
      <c r="K23" s="24">
        <v>211.06800000000001</v>
      </c>
      <c r="L23" s="21">
        <f t="shared" si="0"/>
        <v>211.06800000000001</v>
      </c>
      <c r="M23" s="14"/>
      <c r="N23" s="14"/>
      <c r="O23" s="14">
        <v>2.7349999999999999</v>
      </c>
      <c r="P23" s="14">
        <v>207.89500000000001</v>
      </c>
      <c r="Q23" s="14">
        <v>217.10499999999999</v>
      </c>
      <c r="R23" s="10">
        <f>AVERAGE(K23:K26)</f>
        <v>216.87924999999998</v>
      </c>
      <c r="S23" s="10">
        <f>STDEV(K23:K26)</f>
        <v>5.0763285535250002</v>
      </c>
      <c r="T23" s="1" t="s">
        <v>14</v>
      </c>
      <c r="U23" s="4">
        <v>1</v>
      </c>
      <c r="V23" s="1" t="s">
        <v>15</v>
      </c>
      <c r="W23" s="1" t="s">
        <v>28</v>
      </c>
      <c r="X23" s="1">
        <v>0</v>
      </c>
      <c r="Y23" s="1">
        <f t="shared" si="1"/>
        <v>0</v>
      </c>
      <c r="Z23" s="1" t="s">
        <v>38</v>
      </c>
      <c r="AH23" s="1">
        <v>316.35000000000002</v>
      </c>
      <c r="AI23" s="1">
        <v>209.21</v>
      </c>
      <c r="AJ23" s="1">
        <f t="shared" ref="AJ23:AJ26" si="5">AH23/AI23</f>
        <v>1.5121170116151237</v>
      </c>
      <c r="AK23" s="1" t="s">
        <v>108</v>
      </c>
    </row>
    <row r="24" spans="1:37" x14ac:dyDescent="0.3">
      <c r="A24" s="1">
        <v>7029</v>
      </c>
      <c r="B24" s="1" t="s">
        <v>8</v>
      </c>
      <c r="C24" s="1">
        <v>225</v>
      </c>
      <c r="D24" s="1">
        <f>0.1*C24</f>
        <v>22.5</v>
      </c>
      <c r="E24" s="1" t="s">
        <v>100</v>
      </c>
      <c r="F24" s="1" t="s">
        <v>62</v>
      </c>
      <c r="G24" s="1" t="s">
        <v>97</v>
      </c>
      <c r="H24" s="5" t="s">
        <v>98</v>
      </c>
      <c r="I24" s="5" t="s">
        <v>99</v>
      </c>
      <c r="J24" s="4">
        <v>22</v>
      </c>
      <c r="K24" s="26">
        <v>215.51400000000001</v>
      </c>
      <c r="L24" s="21">
        <f t="shared" si="0"/>
        <v>215.5300850834326</v>
      </c>
      <c r="M24" s="16"/>
      <c r="N24" s="16"/>
      <c r="O24" s="16">
        <v>3.698</v>
      </c>
      <c r="P24" s="17">
        <v>209.67</v>
      </c>
      <c r="Q24" s="14">
        <v>222.19800000000001</v>
      </c>
      <c r="R24" s="14"/>
      <c r="S24" s="14"/>
      <c r="T24" s="1" t="s">
        <v>20</v>
      </c>
      <c r="U24" s="4">
        <v>1</v>
      </c>
      <c r="V24" s="1" t="s">
        <v>15</v>
      </c>
      <c r="W24" s="1" t="s">
        <v>23</v>
      </c>
      <c r="X24" s="1">
        <v>0.7</v>
      </c>
      <c r="Y24" s="1">
        <f t="shared" si="1"/>
        <v>1.2217304763960306E-2</v>
      </c>
      <c r="Z24" s="1" t="s">
        <v>105</v>
      </c>
      <c r="AH24" s="1">
        <v>330.28</v>
      </c>
      <c r="AI24" s="1">
        <v>218.9</v>
      </c>
      <c r="AJ24" s="1">
        <f t="shared" si="5"/>
        <v>1.5088168113293741</v>
      </c>
      <c r="AK24" s="1" t="s">
        <v>109</v>
      </c>
    </row>
    <row r="25" spans="1:37" x14ac:dyDescent="0.3">
      <c r="A25" s="1">
        <v>7029</v>
      </c>
      <c r="B25" s="1" t="s">
        <v>8</v>
      </c>
      <c r="C25" s="1">
        <v>225</v>
      </c>
      <c r="D25" s="1">
        <f>0.1*C25</f>
        <v>22.5</v>
      </c>
      <c r="E25" s="1" t="s">
        <v>100</v>
      </c>
      <c r="F25" s="1" t="s">
        <v>62</v>
      </c>
      <c r="G25" s="1" t="s">
        <v>97</v>
      </c>
      <c r="H25" s="5" t="s">
        <v>98</v>
      </c>
      <c r="I25" s="5" t="s">
        <v>99</v>
      </c>
      <c r="J25" s="1">
        <v>28</v>
      </c>
      <c r="K25" s="24">
        <v>217.64599999999999</v>
      </c>
      <c r="L25" s="21">
        <f t="shared" si="0"/>
        <v>217.65130400874858</v>
      </c>
      <c r="M25" s="14"/>
      <c r="N25" s="14"/>
      <c r="O25" s="14">
        <v>2.4750000000000001</v>
      </c>
      <c r="P25" s="14">
        <v>212.5</v>
      </c>
      <c r="Q25" s="14">
        <v>224.34200000000001</v>
      </c>
      <c r="R25" s="14"/>
      <c r="S25" s="14"/>
      <c r="T25" s="1" t="s">
        <v>43</v>
      </c>
      <c r="U25" s="4">
        <v>1</v>
      </c>
      <c r="V25" s="1" t="s">
        <v>15</v>
      </c>
      <c r="W25" s="1" t="s">
        <v>23</v>
      </c>
      <c r="X25" s="1">
        <v>0.4</v>
      </c>
      <c r="Y25" s="1">
        <f t="shared" si="1"/>
        <v>6.9813170079773184E-3</v>
      </c>
      <c r="Z25" s="1" t="s">
        <v>106</v>
      </c>
      <c r="AH25" s="1">
        <v>453.64</v>
      </c>
      <c r="AI25" s="1">
        <v>300</v>
      </c>
      <c r="AJ25" s="1">
        <f t="shared" si="5"/>
        <v>1.5121333333333333</v>
      </c>
      <c r="AK25" s="1" t="s">
        <v>107</v>
      </c>
    </row>
    <row r="26" spans="1:37" x14ac:dyDescent="0.3">
      <c r="A26" s="1">
        <v>7029</v>
      </c>
      <c r="B26" s="1" t="s">
        <v>8</v>
      </c>
      <c r="C26" s="1">
        <v>225</v>
      </c>
      <c r="D26" s="1">
        <f>0.1*C26</f>
        <v>22.5</v>
      </c>
      <c r="E26" s="1" t="s">
        <v>100</v>
      </c>
      <c r="F26" s="1" t="s">
        <v>62</v>
      </c>
      <c r="G26" s="1" t="s">
        <v>97</v>
      </c>
      <c r="H26" s="5" t="s">
        <v>98</v>
      </c>
      <c r="I26" s="5" t="s">
        <v>99</v>
      </c>
      <c r="J26" s="4">
        <v>21</v>
      </c>
      <c r="K26" s="26">
        <v>223.28899999999999</v>
      </c>
      <c r="L26" s="21">
        <f t="shared" si="0"/>
        <v>223.30566537763011</v>
      </c>
      <c r="M26" s="16"/>
      <c r="N26" s="16"/>
      <c r="O26" s="16">
        <v>6.173</v>
      </c>
      <c r="P26" s="17">
        <v>212.691</v>
      </c>
      <c r="Q26" s="14">
        <v>237.637</v>
      </c>
      <c r="R26" s="14"/>
      <c r="S26" s="14"/>
      <c r="T26" s="1" t="s">
        <v>47</v>
      </c>
      <c r="U26" s="4">
        <v>1</v>
      </c>
      <c r="V26" s="1" t="s">
        <v>15</v>
      </c>
      <c r="W26" s="1" t="s">
        <v>45</v>
      </c>
      <c r="X26" s="1">
        <v>0.7</v>
      </c>
      <c r="Y26" s="1">
        <f t="shared" si="1"/>
        <v>1.2217304763960306E-2</v>
      </c>
      <c r="Z26" s="1" t="s">
        <v>105</v>
      </c>
      <c r="AH26" s="1">
        <v>337.24</v>
      </c>
      <c r="AI26" s="1">
        <v>222.54</v>
      </c>
      <c r="AJ26" s="1">
        <f t="shared" si="5"/>
        <v>1.5154129594679608</v>
      </c>
    </row>
    <row r="29" spans="1:37" x14ac:dyDescent="0.3">
      <c r="AH29" s="3"/>
      <c r="AI29" s="3"/>
    </row>
    <row r="30" spans="1:37" x14ac:dyDescent="0.3">
      <c r="AH30" s="3"/>
      <c r="AI30" s="3"/>
    </row>
    <row r="31" spans="1:37" x14ac:dyDescent="0.3">
      <c r="AH31" s="3"/>
      <c r="AI31" s="3"/>
    </row>
    <row r="32" spans="1:37" x14ac:dyDescent="0.3">
      <c r="AH32" s="3"/>
      <c r="AI32" s="3"/>
    </row>
    <row r="33" spans="10:38" x14ac:dyDescent="0.3">
      <c r="AH33" s="3"/>
      <c r="AI33" s="3"/>
    </row>
    <row r="34" spans="10:38" x14ac:dyDescent="0.3">
      <c r="AH34" s="3"/>
      <c r="AI34" s="3"/>
    </row>
    <row r="35" spans="10:38" x14ac:dyDescent="0.3">
      <c r="AH35" s="3"/>
      <c r="AI35" s="3"/>
    </row>
    <row r="36" spans="10:38" x14ac:dyDescent="0.3">
      <c r="AH36" s="3"/>
      <c r="AI36" s="3"/>
    </row>
    <row r="37" spans="10:38" x14ac:dyDescent="0.3">
      <c r="AH37" s="3"/>
      <c r="AI37" s="3"/>
    </row>
    <row r="41" spans="10:38" x14ac:dyDescent="0.3">
      <c r="M41" s="14"/>
      <c r="N41" s="14"/>
      <c r="O41" s="14"/>
      <c r="AK41" s="2"/>
      <c r="AL41" s="2"/>
    </row>
    <row r="42" spans="10:38" x14ac:dyDescent="0.3">
      <c r="J42" s="4"/>
      <c r="M42" s="14"/>
      <c r="N42" s="14"/>
      <c r="O42" s="14"/>
      <c r="AK42" s="2"/>
      <c r="AL42" s="2"/>
    </row>
    <row r="43" spans="10:38" x14ac:dyDescent="0.3">
      <c r="J43" s="4"/>
      <c r="M43" s="14"/>
      <c r="N43" s="14"/>
      <c r="O43" s="14"/>
      <c r="AK43" s="2"/>
      <c r="AL43" s="2"/>
    </row>
    <row r="44" spans="10:38" x14ac:dyDescent="0.3">
      <c r="J44" s="4"/>
      <c r="M44" s="14"/>
      <c r="N44" s="14"/>
      <c r="O44" s="14"/>
      <c r="AK44" s="2"/>
      <c r="AL44" s="2"/>
    </row>
    <row r="45" spans="10:38" x14ac:dyDescent="0.3">
      <c r="J45" s="4"/>
      <c r="M45" s="14"/>
      <c r="N45" s="14"/>
      <c r="O45" s="14"/>
      <c r="AK45" s="2"/>
    </row>
    <row r="46" spans="10:38" x14ac:dyDescent="0.3">
      <c r="J46" s="4"/>
      <c r="M46" s="14"/>
      <c r="N46" s="14"/>
      <c r="O46" s="14"/>
      <c r="AK46" s="2"/>
      <c r="AL46" s="2"/>
    </row>
    <row r="47" spans="10:38" x14ac:dyDescent="0.3">
      <c r="J47" s="4"/>
      <c r="M47" s="14"/>
      <c r="N47" s="14"/>
      <c r="O47" s="14"/>
      <c r="AK47" s="2"/>
      <c r="AL47" s="2"/>
    </row>
    <row r="48" spans="10:38" x14ac:dyDescent="0.3">
      <c r="J48" s="4"/>
      <c r="M48" s="14"/>
      <c r="N48" s="14"/>
      <c r="O48" s="14"/>
      <c r="AK48" s="2"/>
      <c r="AL48" s="2"/>
    </row>
    <row r="49" spans="10:38" x14ac:dyDescent="0.3">
      <c r="J49" s="4"/>
      <c r="M49" s="14"/>
      <c r="N49" s="14"/>
      <c r="O49" s="14"/>
      <c r="U49" s="4"/>
      <c r="AK49" s="2"/>
      <c r="AL49" s="2"/>
    </row>
    <row r="50" spans="10:38" x14ac:dyDescent="0.3">
      <c r="J50" s="4"/>
      <c r="M50" s="14"/>
      <c r="N50" s="14"/>
      <c r="O50" s="14"/>
      <c r="U50" s="4"/>
      <c r="AK50" s="2"/>
      <c r="AL50" s="2"/>
    </row>
    <row r="51" spans="10:38" x14ac:dyDescent="0.3">
      <c r="J51" s="4"/>
      <c r="M51" s="14"/>
      <c r="N51" s="14"/>
      <c r="O51" s="14"/>
      <c r="U51" s="4"/>
      <c r="AK51" s="2"/>
      <c r="AL51" s="2"/>
    </row>
    <row r="52" spans="10:38" x14ac:dyDescent="0.3">
      <c r="J52" s="4"/>
      <c r="M52" s="14"/>
      <c r="N52" s="14"/>
      <c r="O52" s="14"/>
      <c r="U52" s="4"/>
      <c r="AK52" s="2"/>
      <c r="AL52" s="2"/>
    </row>
    <row r="53" spans="10:38" x14ac:dyDescent="0.3">
      <c r="J53" s="4"/>
      <c r="K53" s="26"/>
      <c r="L53" s="22"/>
      <c r="M53" s="16"/>
      <c r="N53" s="16"/>
      <c r="O53" s="16"/>
      <c r="P53" s="17"/>
      <c r="Q53" s="14"/>
      <c r="R53" s="14"/>
      <c r="S53" s="14"/>
      <c r="U53" s="4"/>
    </row>
    <row r="54" spans="10:38" x14ac:dyDescent="0.3">
      <c r="J54" s="4"/>
      <c r="K54" s="26"/>
      <c r="L54" s="22"/>
      <c r="M54" s="16"/>
      <c r="N54" s="16"/>
      <c r="O54" s="16"/>
      <c r="P54" s="17"/>
      <c r="Q54" s="14"/>
      <c r="R54" s="14"/>
      <c r="S54" s="14"/>
      <c r="U54" s="4"/>
    </row>
    <row r="59" spans="10:38" x14ac:dyDescent="0.3">
      <c r="J59" s="4"/>
      <c r="K59" s="26"/>
      <c r="L59" s="22"/>
      <c r="M59" s="16"/>
      <c r="N59" s="16"/>
      <c r="O59" s="16"/>
      <c r="P59" s="17"/>
      <c r="Q59" s="14"/>
      <c r="R59" s="14"/>
      <c r="S59" s="14"/>
      <c r="U59" s="4"/>
    </row>
    <row r="60" spans="10:38" x14ac:dyDescent="0.3">
      <c r="J60" s="4"/>
      <c r="K60" s="26"/>
      <c r="L60" s="22"/>
      <c r="M60" s="16"/>
      <c r="N60" s="16"/>
      <c r="O60" s="16"/>
      <c r="P60" s="17"/>
      <c r="Q60" s="14"/>
      <c r="R60" s="14"/>
      <c r="S60" s="14"/>
      <c r="U60" s="4"/>
    </row>
    <row r="61" spans="10:38" x14ac:dyDescent="0.3">
      <c r="J61" s="4"/>
      <c r="M61" s="14"/>
      <c r="N61" s="14"/>
      <c r="O61" s="14"/>
      <c r="P61" s="14"/>
      <c r="Q61" s="14"/>
      <c r="AK61" s="2"/>
    </row>
    <row r="62" spans="10:38" x14ac:dyDescent="0.3">
      <c r="J62" s="4"/>
      <c r="M62" s="14"/>
      <c r="N62" s="14"/>
      <c r="O62" s="14"/>
      <c r="P62" s="14"/>
      <c r="Q62" s="14"/>
      <c r="R62" s="14"/>
      <c r="S62" s="14"/>
      <c r="U62" s="4"/>
    </row>
    <row r="63" spans="10:38" x14ac:dyDescent="0.3">
      <c r="J63" s="4"/>
      <c r="M63" s="14"/>
      <c r="N63" s="14"/>
      <c r="O63" s="14"/>
      <c r="P63" s="14"/>
      <c r="Q63" s="14"/>
      <c r="R63" s="14"/>
      <c r="S63" s="14"/>
      <c r="U63" s="4"/>
      <c r="AK63" s="2"/>
    </row>
    <row r="64" spans="10:38" x14ac:dyDescent="0.3">
      <c r="J64" s="4"/>
      <c r="M64" s="14"/>
      <c r="N64" s="14"/>
      <c r="O64" s="14"/>
      <c r="P64" s="14"/>
      <c r="Q64" s="14"/>
      <c r="R64" s="14"/>
      <c r="S64" s="14"/>
      <c r="U64" s="4"/>
      <c r="AK64" s="2"/>
    </row>
    <row r="65" spans="10:21" x14ac:dyDescent="0.3">
      <c r="J65" s="4"/>
      <c r="U65" s="4"/>
    </row>
    <row r="66" spans="10:21" x14ac:dyDescent="0.3">
      <c r="J66" s="4"/>
      <c r="K66" s="26"/>
      <c r="L66" s="22"/>
      <c r="M66" s="16"/>
      <c r="N66" s="16"/>
      <c r="O66" s="16"/>
      <c r="U66" s="4"/>
    </row>
    <row r="67" spans="10:21" x14ac:dyDescent="0.3">
      <c r="J67" s="6"/>
      <c r="O67" s="14"/>
      <c r="P67" s="14"/>
      <c r="Q67" s="14"/>
      <c r="R67" s="14"/>
      <c r="S67" s="14"/>
      <c r="U67" s="6"/>
    </row>
    <row r="68" spans="10:21" x14ac:dyDescent="0.3">
      <c r="U68" s="6"/>
    </row>
    <row r="79" spans="10:21" x14ac:dyDescent="0.3">
      <c r="Q79" s="14"/>
      <c r="R79" s="14"/>
      <c r="S79" s="14"/>
    </row>
    <row r="80" spans="10:21" x14ac:dyDescent="0.3">
      <c r="Q80" s="14"/>
      <c r="R80" s="14"/>
      <c r="S80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5" sqref="A5"/>
    </sheetView>
  </sheetViews>
  <sheetFormatPr defaultRowHeight="14.4" x14ac:dyDescent="0.3"/>
  <cols>
    <col min="1" max="1" width="60.33203125" bestFit="1" customWidth="1"/>
  </cols>
  <sheetData>
    <row r="1" spans="1:5" x14ac:dyDescent="0.3">
      <c r="D1" t="s">
        <v>129</v>
      </c>
    </row>
    <row r="2" spans="1:5" x14ac:dyDescent="0.3">
      <c r="A2" t="s">
        <v>130</v>
      </c>
      <c r="B2" t="s">
        <v>131</v>
      </c>
      <c r="D2" t="s">
        <v>132</v>
      </c>
      <c r="E2" t="s">
        <v>133</v>
      </c>
    </row>
    <row r="3" spans="1:5" x14ac:dyDescent="0.3">
      <c r="A3" t="s">
        <v>134</v>
      </c>
      <c r="B3" t="s">
        <v>135</v>
      </c>
    </row>
    <row r="4" spans="1:5" x14ac:dyDescent="0.3">
      <c r="A4" t="s">
        <v>136</v>
      </c>
    </row>
    <row r="5" spans="1:5" x14ac:dyDescent="0.3">
      <c r="A5" t="s">
        <v>137</v>
      </c>
      <c r="B5" t="s">
        <v>138</v>
      </c>
    </row>
    <row r="6" spans="1:5" x14ac:dyDescent="0.3">
      <c r="A6" t="s">
        <v>139</v>
      </c>
    </row>
    <row r="7" spans="1:5" x14ac:dyDescent="0.3">
      <c r="A7" t="s">
        <v>140</v>
      </c>
      <c r="B7" t="s">
        <v>141</v>
      </c>
    </row>
    <row r="8" spans="1:5" x14ac:dyDescent="0.3">
      <c r="A8" t="s">
        <v>142</v>
      </c>
    </row>
    <row r="9" spans="1:5" x14ac:dyDescent="0.3">
      <c r="A9" t="s">
        <v>143</v>
      </c>
    </row>
    <row r="12" spans="1:5" x14ac:dyDescent="0.3">
      <c r="A12" t="s">
        <v>146</v>
      </c>
    </row>
    <row r="14" spans="1:5" ht="15.6" x14ac:dyDescent="0.3">
      <c r="A14" s="31" t="s">
        <v>144</v>
      </c>
    </row>
    <row r="16" spans="1:5" ht="15" x14ac:dyDescent="0.3">
      <c r="A16" s="32" t="s">
        <v>145</v>
      </c>
      <c r="B16">
        <v>0.01</v>
      </c>
      <c r="C16" t="s">
        <v>147</v>
      </c>
      <c r="D16" s="33">
        <f>B16*D17/B17</f>
        <v>9.9999999999999995E-7</v>
      </c>
      <c r="E16" t="s">
        <v>149</v>
      </c>
    </row>
    <row r="17" spans="2:5" x14ac:dyDescent="0.3">
      <c r="B17">
        <v>0.01</v>
      </c>
      <c r="C17" t="s">
        <v>148</v>
      </c>
      <c r="D17" s="33">
        <v>9.9999999999999995E-7</v>
      </c>
      <c r="E17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3"/>
  <sheetViews>
    <sheetView topLeftCell="D1" workbookViewId="0">
      <pane ySplit="2" topLeftCell="A59" activePane="bottomLeft" state="frozen"/>
      <selection activeCell="M1" sqref="M1"/>
      <selection pane="bottomLeft" activeCell="W36" sqref="W36"/>
    </sheetView>
  </sheetViews>
  <sheetFormatPr defaultRowHeight="14.4" x14ac:dyDescent="0.3"/>
  <cols>
    <col min="20" max="20" width="12" bestFit="1" customWidth="1"/>
  </cols>
  <sheetData>
    <row r="1" spans="1:45" s="1" customFormat="1" x14ac:dyDescent="0.3">
      <c r="L1" s="5"/>
      <c r="M1" s="5"/>
      <c r="N1" s="5"/>
      <c r="O1" s="5"/>
      <c r="P1" s="7" t="s">
        <v>110</v>
      </c>
      <c r="Q1" s="8"/>
      <c r="R1" s="27"/>
      <c r="S1" s="27"/>
      <c r="T1" s="27"/>
      <c r="U1" s="8"/>
      <c r="V1" s="8"/>
      <c r="W1" s="20"/>
      <c r="X1" s="20"/>
      <c r="Y1" s="70" t="s">
        <v>159</v>
      </c>
      <c r="Z1" s="70" t="s">
        <v>161</v>
      </c>
      <c r="AA1" s="21"/>
      <c r="AB1" s="34" t="s">
        <v>152</v>
      </c>
      <c r="AC1" s="34" t="s">
        <v>151</v>
      </c>
      <c r="AD1" s="34"/>
      <c r="AE1" s="35" t="s">
        <v>157</v>
      </c>
      <c r="AF1" s="34"/>
      <c r="AG1" s="69" t="s">
        <v>158</v>
      </c>
      <c r="AH1" s="69"/>
      <c r="AI1" s="69"/>
      <c r="AN1" s="1" t="s">
        <v>176</v>
      </c>
      <c r="AP1" s="6"/>
      <c r="AQ1" s="6"/>
      <c r="AR1" s="3"/>
      <c r="AS1" s="3"/>
    </row>
    <row r="2" spans="1:45" s="1" customFormat="1" x14ac:dyDescent="0.3">
      <c r="A2" s="1" t="s">
        <v>0</v>
      </c>
      <c r="B2" s="1" t="s">
        <v>19</v>
      </c>
      <c r="C2" s="1" t="s">
        <v>7</v>
      </c>
      <c r="D2" s="1" t="s">
        <v>11</v>
      </c>
      <c r="E2" s="1" t="s">
        <v>1</v>
      </c>
      <c r="F2" s="1" t="s">
        <v>2</v>
      </c>
      <c r="G2" s="1" t="s">
        <v>4</v>
      </c>
      <c r="H2" s="1" t="s">
        <v>18</v>
      </c>
      <c r="I2" s="1" t="s">
        <v>5</v>
      </c>
      <c r="J2" s="1" t="s">
        <v>65</v>
      </c>
      <c r="K2" s="1" t="s">
        <v>73</v>
      </c>
      <c r="L2" s="5" t="s">
        <v>3</v>
      </c>
      <c r="M2" s="5" t="s">
        <v>154</v>
      </c>
      <c r="N2" s="5" t="s">
        <v>31</v>
      </c>
      <c r="O2" s="5" t="s">
        <v>35</v>
      </c>
      <c r="P2" s="9" t="s">
        <v>49</v>
      </c>
      <c r="Q2" s="10" t="s">
        <v>127</v>
      </c>
      <c r="R2" s="28" t="s">
        <v>128</v>
      </c>
      <c r="S2" s="28" t="s">
        <v>125</v>
      </c>
      <c r="T2" s="28" t="s">
        <v>126</v>
      </c>
      <c r="U2" s="10" t="s">
        <v>33</v>
      </c>
      <c r="V2" s="10" t="s">
        <v>34</v>
      </c>
      <c r="W2" s="21" t="s">
        <v>112</v>
      </c>
      <c r="X2" s="21" t="s">
        <v>113</v>
      </c>
      <c r="Y2" s="70" t="s">
        <v>160</v>
      </c>
      <c r="Z2" s="70" t="s">
        <v>162</v>
      </c>
      <c r="AA2" s="21"/>
      <c r="AB2" s="34" t="s">
        <v>120</v>
      </c>
      <c r="AC2" s="34"/>
      <c r="AD2" s="34" t="s">
        <v>153</v>
      </c>
      <c r="AE2" s="35" t="s">
        <v>156</v>
      </c>
      <c r="AF2" s="34"/>
      <c r="AG2" s="69"/>
      <c r="AH2" s="69" t="s">
        <v>163</v>
      </c>
      <c r="AI2" s="69" t="s">
        <v>164</v>
      </c>
      <c r="AJ2" s="1" t="s">
        <v>36</v>
      </c>
      <c r="AK2" s="1" t="s">
        <v>37</v>
      </c>
      <c r="AL2" s="1" t="s">
        <v>6</v>
      </c>
      <c r="AM2" s="1" t="s">
        <v>150</v>
      </c>
      <c r="AN2" s="1" t="s">
        <v>177</v>
      </c>
      <c r="AO2" s="1" t="s">
        <v>48</v>
      </c>
      <c r="AP2" s="6"/>
      <c r="AQ2" s="6"/>
      <c r="AR2" s="3"/>
      <c r="AS2" s="3"/>
    </row>
    <row r="3" spans="1:45" s="1" customFormat="1" x14ac:dyDescent="0.3">
      <c r="A3" s="1">
        <v>3057</v>
      </c>
      <c r="B3" s="1" t="s">
        <v>14</v>
      </c>
      <c r="C3" s="1" t="s">
        <v>9</v>
      </c>
      <c r="D3" s="1">
        <v>870</v>
      </c>
      <c r="E3" s="1">
        <f t="shared" ref="E3:E12" si="0">0.1*D3</f>
        <v>87</v>
      </c>
      <c r="F3" s="1" t="s">
        <v>12</v>
      </c>
      <c r="G3" s="1" t="s">
        <v>22</v>
      </c>
      <c r="H3" s="1" t="s">
        <v>28</v>
      </c>
      <c r="I3" s="1" t="s">
        <v>38</v>
      </c>
      <c r="J3" s="1" t="s">
        <v>79</v>
      </c>
      <c r="K3" s="1" t="s">
        <v>81</v>
      </c>
      <c r="L3" s="5" t="s">
        <v>39</v>
      </c>
      <c r="M3" s="5">
        <v>1</v>
      </c>
      <c r="N3" s="5">
        <v>1</v>
      </c>
      <c r="O3" s="5">
        <v>16</v>
      </c>
      <c r="P3" s="9">
        <v>749.13499999999999</v>
      </c>
      <c r="Q3" s="10">
        <v>12.695</v>
      </c>
      <c r="R3" s="28">
        <f t="shared" ref="R3:R12" si="1">1/((AG3)^2)</f>
        <v>4.4140713719023053E-3</v>
      </c>
      <c r="S3" s="28">
        <f t="shared" ref="S3:S12" si="2">P3*R3</f>
        <v>3.3067353571900333</v>
      </c>
      <c r="T3" s="28">
        <f t="shared" ref="T3:T12" si="3">AG3^2*R3^2</f>
        <v>4.4140713719023053E-3</v>
      </c>
      <c r="U3" s="10">
        <v>729.24900000000002</v>
      </c>
      <c r="V3" s="10">
        <v>768.77499999999998</v>
      </c>
      <c r="W3" s="21">
        <f>AVERAGE(P3:P12)</f>
        <v>817.03696206896552</v>
      </c>
      <c r="X3" s="21">
        <f>STDEV(P3:P12)</f>
        <v>41.677875119562181</v>
      </c>
      <c r="Y3" s="70">
        <f>SUM(S3:S12)/SUM(R3:R12)</f>
        <v>827.56674273890224</v>
      </c>
      <c r="Z3" s="70">
        <f>SQRT(1/SUM(R3:R12))</f>
        <v>4.4822778776484684</v>
      </c>
      <c r="AA3" s="21"/>
      <c r="AB3" s="34">
        <f t="shared" ref="AB3:AB12" si="4">IF(P3*0.2%=0,"",P3*0.2%)</f>
        <v>1.49827</v>
      </c>
      <c r="AC3" s="34">
        <f t="shared" ref="AC3:AC12" si="5">4*AM3</f>
        <v>7.9460916442048513</v>
      </c>
      <c r="AD3" s="34">
        <f t="shared" ref="AD3:AD12" si="6">Q3</f>
        <v>12.695</v>
      </c>
      <c r="AE3" s="35">
        <f t="shared" ref="AE3:AE12" si="7">3*D3*0.000001*M3</f>
        <v>2.6099999999999999E-3</v>
      </c>
      <c r="AF3" s="34"/>
      <c r="AG3" s="69">
        <f t="shared" ref="AG3:AG12" si="8">SQRT(AB3^2+AC3^2+AD3^2+AE3^2)</f>
        <v>15.051518767988238</v>
      </c>
      <c r="AH3" s="69"/>
      <c r="AI3" s="69"/>
      <c r="AJ3" s="36">
        <v>371</v>
      </c>
      <c r="AK3" s="36">
        <v>737</v>
      </c>
      <c r="AL3" s="36">
        <f t="shared" ref="AL3:AL12" si="9">AJ3/AK3</f>
        <v>0.50339213025780194</v>
      </c>
      <c r="AM3" s="36">
        <f t="shared" ref="AM3:AM12" si="10">1/AL3</f>
        <v>1.9865229110512128</v>
      </c>
      <c r="AN3" s="36">
        <v>1</v>
      </c>
      <c r="AO3" s="36" t="s">
        <v>171</v>
      </c>
      <c r="AP3" s="6" t="s">
        <v>172</v>
      </c>
      <c r="AQ3" s="6"/>
      <c r="AR3" s="3"/>
      <c r="AS3" s="3"/>
    </row>
    <row r="4" spans="1:45" s="1" customFormat="1" x14ac:dyDescent="0.3">
      <c r="A4" s="1">
        <v>3057</v>
      </c>
      <c r="B4" s="1" t="s">
        <v>14</v>
      </c>
      <c r="C4" s="1" t="s">
        <v>9</v>
      </c>
      <c r="D4" s="1">
        <v>870</v>
      </c>
      <c r="E4" s="1">
        <f t="shared" si="0"/>
        <v>87</v>
      </c>
      <c r="F4" s="1" t="s">
        <v>12</v>
      </c>
      <c r="G4" s="1" t="s">
        <v>22</v>
      </c>
      <c r="H4" s="1" t="s">
        <v>28</v>
      </c>
      <c r="I4" s="1" t="s">
        <v>38</v>
      </c>
      <c r="J4" s="1" t="s">
        <v>79</v>
      </c>
      <c r="K4" s="1" t="s">
        <v>81</v>
      </c>
      <c r="L4" s="5" t="s">
        <v>39</v>
      </c>
      <c r="M4" s="5">
        <v>1</v>
      </c>
      <c r="N4" s="5">
        <v>2</v>
      </c>
      <c r="O4" s="5">
        <v>29</v>
      </c>
      <c r="P4" s="9">
        <v>752.62400000000002</v>
      </c>
      <c r="Q4" s="10">
        <v>10.787000000000001</v>
      </c>
      <c r="R4" s="28">
        <f t="shared" si="1"/>
        <v>5.5015934884458826E-3</v>
      </c>
      <c r="S4" s="28">
        <f t="shared" si="2"/>
        <v>4.1406312976480937</v>
      </c>
      <c r="T4" s="28">
        <f t="shared" si="3"/>
        <v>5.5015934884458826E-3</v>
      </c>
      <c r="U4" s="10">
        <v>733.202</v>
      </c>
      <c r="V4" s="10">
        <v>770.75</v>
      </c>
      <c r="W4" s="21"/>
      <c r="X4" s="21"/>
      <c r="Y4" s="70"/>
      <c r="Z4" s="70"/>
      <c r="AA4" s="21"/>
      <c r="AB4" s="34">
        <f t="shared" si="4"/>
        <v>1.5052480000000001</v>
      </c>
      <c r="AC4" s="34">
        <f t="shared" si="5"/>
        <v>7.9460916442048513</v>
      </c>
      <c r="AD4" s="34">
        <f t="shared" si="6"/>
        <v>10.787000000000001</v>
      </c>
      <c r="AE4" s="35">
        <f t="shared" si="7"/>
        <v>2.6099999999999999E-3</v>
      </c>
      <c r="AF4" s="34"/>
      <c r="AG4" s="69">
        <f t="shared" si="8"/>
        <v>13.482044346897327</v>
      </c>
      <c r="AH4" s="69"/>
      <c r="AI4" s="69"/>
      <c r="AJ4" s="36">
        <v>371</v>
      </c>
      <c r="AK4" s="36">
        <v>737</v>
      </c>
      <c r="AL4" s="36">
        <f t="shared" si="9"/>
        <v>0.50339213025780194</v>
      </c>
      <c r="AM4" s="36">
        <f t="shared" si="10"/>
        <v>1.9865229110512128</v>
      </c>
      <c r="AN4" s="36">
        <v>1</v>
      </c>
      <c r="AO4" s="36" t="s">
        <v>186</v>
      </c>
      <c r="AP4" s="6"/>
      <c r="AQ4" s="6"/>
      <c r="AR4" s="3"/>
      <c r="AS4" s="3"/>
    </row>
    <row r="5" spans="1:45" s="1" customFormat="1" x14ac:dyDescent="0.3">
      <c r="A5" s="1">
        <v>3057</v>
      </c>
      <c r="B5" s="1" t="s">
        <v>20</v>
      </c>
      <c r="C5" s="1" t="s">
        <v>9</v>
      </c>
      <c r="D5" s="1">
        <v>870</v>
      </c>
      <c r="E5" s="1">
        <f t="shared" si="0"/>
        <v>87</v>
      </c>
      <c r="F5" s="1" t="s">
        <v>12</v>
      </c>
      <c r="G5" s="1" t="s">
        <v>22</v>
      </c>
      <c r="H5" s="1" t="s">
        <v>16</v>
      </c>
      <c r="I5" s="1" t="s">
        <v>40</v>
      </c>
      <c r="J5" s="1" t="s">
        <v>79</v>
      </c>
      <c r="K5" s="1" t="s">
        <v>81</v>
      </c>
      <c r="L5" s="5" t="s">
        <v>39</v>
      </c>
      <c r="M5" s="5">
        <v>1</v>
      </c>
      <c r="N5" s="5">
        <v>1</v>
      </c>
      <c r="O5" s="5">
        <v>17</v>
      </c>
      <c r="P5" s="9">
        <v>808.41700000000003</v>
      </c>
      <c r="Q5" s="10">
        <v>19.344000000000001</v>
      </c>
      <c r="R5" s="28">
        <f t="shared" si="1"/>
        <v>2.2745256627067743E-3</v>
      </c>
      <c r="S5" s="28">
        <f t="shared" si="2"/>
        <v>1.8387652126684224</v>
      </c>
      <c r="T5" s="28">
        <f t="shared" si="3"/>
        <v>2.2745256627067743E-3</v>
      </c>
      <c r="U5" s="10">
        <v>768.77499999999998</v>
      </c>
      <c r="V5" s="10">
        <v>835.96799999999996</v>
      </c>
      <c r="W5" s="21"/>
      <c r="X5" s="21"/>
      <c r="Y5" s="70"/>
      <c r="Z5" s="70"/>
      <c r="AA5" s="21"/>
      <c r="AB5" s="34">
        <f t="shared" si="4"/>
        <v>1.6168340000000001</v>
      </c>
      <c r="AC5" s="34">
        <f t="shared" si="5"/>
        <v>7.92764857881137</v>
      </c>
      <c r="AD5" s="34">
        <f t="shared" si="6"/>
        <v>19.344000000000001</v>
      </c>
      <c r="AE5" s="35">
        <f t="shared" si="7"/>
        <v>2.6099999999999999E-3</v>
      </c>
      <c r="AF5" s="34"/>
      <c r="AG5" s="69">
        <f t="shared" si="8"/>
        <v>20.967882749213999</v>
      </c>
      <c r="AH5" s="69"/>
      <c r="AI5" s="69"/>
      <c r="AJ5" s="36">
        <v>387</v>
      </c>
      <c r="AK5" s="36">
        <v>767</v>
      </c>
      <c r="AL5" s="36">
        <f t="shared" si="9"/>
        <v>0.50456323337679265</v>
      </c>
      <c r="AM5" s="36">
        <f t="shared" si="10"/>
        <v>1.9819121447028425</v>
      </c>
      <c r="AN5" s="36">
        <v>1</v>
      </c>
      <c r="AO5" s="36" t="s">
        <v>174</v>
      </c>
      <c r="AP5" s="6"/>
      <c r="AQ5" s="6"/>
      <c r="AR5" s="3"/>
      <c r="AS5" s="3"/>
    </row>
    <row r="6" spans="1:45" s="1" customFormat="1" x14ac:dyDescent="0.3">
      <c r="A6" s="1">
        <v>3057</v>
      </c>
      <c r="B6" s="1" t="s">
        <v>20</v>
      </c>
      <c r="C6" s="1" t="s">
        <v>9</v>
      </c>
      <c r="D6" s="1">
        <v>870</v>
      </c>
      <c r="E6" s="1">
        <f t="shared" si="0"/>
        <v>87</v>
      </c>
      <c r="F6" s="1" t="s">
        <v>12</v>
      </c>
      <c r="G6" s="1" t="s">
        <v>22</v>
      </c>
      <c r="H6" s="1" t="s">
        <v>16</v>
      </c>
      <c r="I6" s="1" t="s">
        <v>40</v>
      </c>
      <c r="J6" s="1" t="s">
        <v>79</v>
      </c>
      <c r="K6" s="1" t="s">
        <v>81</v>
      </c>
      <c r="L6" s="5" t="s">
        <v>39</v>
      </c>
      <c r="M6" s="5">
        <v>1</v>
      </c>
      <c r="N6" s="5">
        <v>2</v>
      </c>
      <c r="O6" s="5">
        <v>17</v>
      </c>
      <c r="P6" s="9">
        <v>809.928</v>
      </c>
      <c r="Q6" s="10">
        <v>25.693999999999999</v>
      </c>
      <c r="R6" s="28">
        <f t="shared" si="1"/>
        <v>1.3780687746926747E-3</v>
      </c>
      <c r="S6" s="28">
        <f t="shared" si="2"/>
        <v>1.1161364865492887</v>
      </c>
      <c r="T6" s="28">
        <f t="shared" si="3"/>
        <v>1.3780687746926747E-3</v>
      </c>
      <c r="U6" s="10">
        <v>776.68</v>
      </c>
      <c r="V6" s="10">
        <v>855.73099999999999</v>
      </c>
      <c r="W6" s="21"/>
      <c r="X6" s="21"/>
      <c r="Y6" s="70"/>
      <c r="Z6" s="70"/>
      <c r="AA6" s="21"/>
      <c r="AB6" s="34">
        <f t="shared" si="4"/>
        <v>1.619856</v>
      </c>
      <c r="AC6" s="34">
        <f t="shared" si="5"/>
        <v>7.92764857881137</v>
      </c>
      <c r="AD6" s="34">
        <f t="shared" si="6"/>
        <v>25.693999999999999</v>
      </c>
      <c r="AE6" s="35">
        <f t="shared" si="7"/>
        <v>2.6099999999999999E-3</v>
      </c>
      <c r="AF6" s="34"/>
      <c r="AG6" s="69">
        <f t="shared" si="8"/>
        <v>26.937950706428392</v>
      </c>
      <c r="AH6" s="69"/>
      <c r="AI6" s="69"/>
      <c r="AJ6" s="36">
        <v>387</v>
      </c>
      <c r="AK6" s="36">
        <v>767</v>
      </c>
      <c r="AL6" s="36">
        <f t="shared" si="9"/>
        <v>0.50456323337679265</v>
      </c>
      <c r="AM6" s="36">
        <f t="shared" si="10"/>
        <v>1.9819121447028425</v>
      </c>
      <c r="AN6" s="36">
        <v>1</v>
      </c>
      <c r="AO6" s="36" t="s">
        <v>186</v>
      </c>
      <c r="AP6" s="6"/>
      <c r="AQ6" s="6"/>
      <c r="AR6" s="3"/>
      <c r="AS6" s="3"/>
    </row>
    <row r="7" spans="1:45" s="1" customFormat="1" x14ac:dyDescent="0.3">
      <c r="A7" s="1">
        <v>3057</v>
      </c>
      <c r="B7" s="1" t="s">
        <v>20</v>
      </c>
      <c r="C7" s="1" t="s">
        <v>9</v>
      </c>
      <c r="D7" s="1">
        <v>870</v>
      </c>
      <c r="E7" s="1">
        <f t="shared" si="0"/>
        <v>87</v>
      </c>
      <c r="F7" s="1" t="s">
        <v>12</v>
      </c>
      <c r="G7" s="1" t="s">
        <v>22</v>
      </c>
      <c r="H7" s="1" t="s">
        <v>16</v>
      </c>
      <c r="I7" s="1" t="s">
        <v>40</v>
      </c>
      <c r="J7" s="1" t="s">
        <v>79</v>
      </c>
      <c r="K7" s="1" t="s">
        <v>81</v>
      </c>
      <c r="L7" s="5" t="s">
        <v>39</v>
      </c>
      <c r="M7" s="5">
        <v>1</v>
      </c>
      <c r="N7" s="5">
        <v>3</v>
      </c>
      <c r="O7" s="5">
        <v>17</v>
      </c>
      <c r="P7" s="9">
        <v>807.48699999999997</v>
      </c>
      <c r="Q7" s="10">
        <v>20.669</v>
      </c>
      <c r="R7" s="28">
        <f t="shared" si="1"/>
        <v>2.0297837442651676E-3</v>
      </c>
      <c r="S7" s="28">
        <f t="shared" si="2"/>
        <v>1.6390239863054472</v>
      </c>
      <c r="T7" s="28">
        <f t="shared" si="3"/>
        <v>2.0297837442651671E-3</v>
      </c>
      <c r="U7" s="10">
        <v>774.70039999999995</v>
      </c>
      <c r="V7" s="10">
        <v>841.89700000000005</v>
      </c>
      <c r="W7" s="21"/>
      <c r="X7" s="21"/>
      <c r="Y7" s="70"/>
      <c r="Z7" s="70"/>
      <c r="AA7" s="21"/>
      <c r="AB7" s="34">
        <f t="shared" si="4"/>
        <v>1.6149739999999999</v>
      </c>
      <c r="AC7" s="34">
        <f t="shared" si="5"/>
        <v>7.92764857881137</v>
      </c>
      <c r="AD7" s="34">
        <f t="shared" si="6"/>
        <v>20.669</v>
      </c>
      <c r="AE7" s="35">
        <f t="shared" si="7"/>
        <v>2.6099999999999999E-3</v>
      </c>
      <c r="AF7" s="34"/>
      <c r="AG7" s="69">
        <f t="shared" si="8"/>
        <v>22.196020382534929</v>
      </c>
      <c r="AH7" s="69"/>
      <c r="AI7" s="69"/>
      <c r="AJ7" s="36">
        <v>387</v>
      </c>
      <c r="AK7" s="36">
        <v>767</v>
      </c>
      <c r="AL7" s="36">
        <f t="shared" si="9"/>
        <v>0.50456323337679265</v>
      </c>
      <c r="AM7" s="36">
        <f t="shared" si="10"/>
        <v>1.9819121447028425</v>
      </c>
      <c r="AN7" s="36">
        <v>1</v>
      </c>
      <c r="AO7" s="36" t="s">
        <v>187</v>
      </c>
      <c r="AP7" s="6"/>
      <c r="AQ7" s="6"/>
      <c r="AR7" s="3"/>
      <c r="AS7" s="3"/>
    </row>
    <row r="8" spans="1:45" s="1" customFormat="1" x14ac:dyDescent="0.3">
      <c r="A8" s="1">
        <v>3057</v>
      </c>
      <c r="B8" s="1" t="s">
        <v>42</v>
      </c>
      <c r="C8" s="1" t="s">
        <v>9</v>
      </c>
      <c r="D8" s="1">
        <v>870</v>
      </c>
      <c r="E8" s="1">
        <f t="shared" si="0"/>
        <v>87</v>
      </c>
      <c r="F8" s="1" t="s">
        <v>12</v>
      </c>
      <c r="G8" s="1" t="s">
        <v>22</v>
      </c>
      <c r="H8" s="1" t="s">
        <v>28</v>
      </c>
      <c r="I8" s="1" t="s">
        <v>41</v>
      </c>
      <c r="J8" s="1" t="s">
        <v>79</v>
      </c>
      <c r="K8" s="1" t="s">
        <v>81</v>
      </c>
      <c r="L8" s="5" t="s">
        <v>39</v>
      </c>
      <c r="M8" s="5">
        <v>1</v>
      </c>
      <c r="N8" s="5">
        <v>1</v>
      </c>
      <c r="O8" s="5">
        <v>16</v>
      </c>
      <c r="P8" s="9">
        <v>861.04200000000003</v>
      </c>
      <c r="Q8" s="10">
        <v>6.2789999999999999</v>
      </c>
      <c r="R8" s="28">
        <f t="shared" si="1"/>
        <v>9.7372368614959438E-3</v>
      </c>
      <c r="S8" s="28">
        <f t="shared" si="2"/>
        <v>8.3841699016961915</v>
      </c>
      <c r="T8" s="28">
        <f t="shared" si="3"/>
        <v>9.7372368614959438E-3</v>
      </c>
      <c r="U8" s="10">
        <v>847.82600000000002</v>
      </c>
      <c r="V8" s="10">
        <v>871.54200000000003</v>
      </c>
      <c r="W8" s="21"/>
      <c r="X8" s="21"/>
      <c r="Y8" s="70"/>
      <c r="Z8" s="70"/>
      <c r="AA8" s="21"/>
      <c r="AB8" s="34">
        <f t="shared" si="4"/>
        <v>1.7220840000000002</v>
      </c>
      <c r="AC8" s="34">
        <f t="shared" si="5"/>
        <v>7.7657657657657664</v>
      </c>
      <c r="AD8" s="34">
        <f t="shared" si="6"/>
        <v>6.2789999999999999</v>
      </c>
      <c r="AE8" s="35">
        <f t="shared" si="7"/>
        <v>2.6099999999999999E-3</v>
      </c>
      <c r="AF8" s="34"/>
      <c r="AG8" s="69">
        <f t="shared" si="8"/>
        <v>10.13402876667989</v>
      </c>
      <c r="AH8" s="69"/>
      <c r="AI8" s="69"/>
      <c r="AJ8" s="36">
        <v>444</v>
      </c>
      <c r="AK8" s="36">
        <v>862</v>
      </c>
      <c r="AL8" s="36">
        <f t="shared" si="9"/>
        <v>0.51508120649651967</v>
      </c>
      <c r="AM8" s="36">
        <f t="shared" si="10"/>
        <v>1.9414414414414416</v>
      </c>
      <c r="AN8" s="36">
        <v>1</v>
      </c>
      <c r="AO8" s="36" t="s">
        <v>173</v>
      </c>
      <c r="AP8" s="6"/>
      <c r="AQ8" s="6"/>
      <c r="AR8" s="3"/>
      <c r="AS8" s="3"/>
    </row>
    <row r="9" spans="1:45" s="1" customFormat="1" x14ac:dyDescent="0.3">
      <c r="A9" s="1">
        <v>3057</v>
      </c>
      <c r="B9" s="1" t="s">
        <v>43</v>
      </c>
      <c r="C9" s="1" t="s">
        <v>9</v>
      </c>
      <c r="D9" s="1">
        <v>870</v>
      </c>
      <c r="E9" s="1">
        <f t="shared" si="0"/>
        <v>87</v>
      </c>
      <c r="F9" s="1" t="s">
        <v>12</v>
      </c>
      <c r="G9" s="1" t="s">
        <v>22</v>
      </c>
      <c r="H9" s="1" t="s">
        <v>23</v>
      </c>
      <c r="I9" s="1" t="s">
        <v>41</v>
      </c>
      <c r="J9" s="1" t="s">
        <v>79</v>
      </c>
      <c r="K9" s="1" t="s">
        <v>81</v>
      </c>
      <c r="L9" s="5" t="s">
        <v>39</v>
      </c>
      <c r="M9" s="5">
        <v>1</v>
      </c>
      <c r="N9" s="5">
        <v>1</v>
      </c>
      <c r="O9" s="5">
        <v>19</v>
      </c>
      <c r="P9" s="9">
        <v>876.63800000000003</v>
      </c>
      <c r="Q9" s="10">
        <v>7.8310000000000004</v>
      </c>
      <c r="R9" s="28">
        <f t="shared" si="1"/>
        <v>7.8421033300668484E-3</v>
      </c>
      <c r="S9" s="28">
        <f t="shared" si="2"/>
        <v>6.8746857790631424</v>
      </c>
      <c r="T9" s="28">
        <f t="shared" si="3"/>
        <v>7.8421033300668484E-3</v>
      </c>
      <c r="U9" s="10">
        <v>861.66</v>
      </c>
      <c r="V9" s="10">
        <v>893.28099999999995</v>
      </c>
      <c r="W9" s="21"/>
      <c r="X9" s="21"/>
      <c r="Y9" s="70"/>
      <c r="Z9" s="70"/>
      <c r="AA9" s="21"/>
      <c r="AB9" s="34">
        <f t="shared" si="4"/>
        <v>1.7532760000000001</v>
      </c>
      <c r="AC9" s="34">
        <f t="shared" si="5"/>
        <v>7.944700460829492</v>
      </c>
      <c r="AD9" s="34">
        <f t="shared" si="6"/>
        <v>7.8310000000000004</v>
      </c>
      <c r="AE9" s="35">
        <f t="shared" si="7"/>
        <v>2.6099999999999999E-3</v>
      </c>
      <c r="AF9" s="34"/>
      <c r="AG9" s="69">
        <f t="shared" si="8"/>
        <v>11.292334123491933</v>
      </c>
      <c r="AH9" s="69"/>
      <c r="AI9" s="69"/>
      <c r="AJ9" s="36">
        <v>434</v>
      </c>
      <c r="AK9" s="36">
        <v>862</v>
      </c>
      <c r="AL9" s="36">
        <f t="shared" si="9"/>
        <v>0.50348027842227383</v>
      </c>
      <c r="AM9" s="36">
        <f t="shared" si="10"/>
        <v>1.986175115207373</v>
      </c>
      <c r="AN9" s="36">
        <v>1</v>
      </c>
      <c r="AO9" s="36" t="s">
        <v>173</v>
      </c>
      <c r="AP9" s="6"/>
      <c r="AQ9" s="6"/>
      <c r="AR9" s="3"/>
      <c r="AS9" s="3"/>
    </row>
    <row r="10" spans="1:45" s="1" customFormat="1" x14ac:dyDescent="0.3">
      <c r="A10" s="1">
        <v>3057</v>
      </c>
      <c r="B10" s="1" t="s">
        <v>20</v>
      </c>
      <c r="C10" s="1" t="s">
        <v>9</v>
      </c>
      <c r="D10" s="1">
        <v>870</v>
      </c>
      <c r="E10" s="1">
        <f t="shared" si="0"/>
        <v>87</v>
      </c>
      <c r="F10" s="1" t="s">
        <v>12</v>
      </c>
      <c r="G10" s="1" t="s">
        <v>44</v>
      </c>
      <c r="H10" s="1" t="s">
        <v>23</v>
      </c>
      <c r="I10" s="1" t="s">
        <v>38</v>
      </c>
      <c r="J10" s="1" t="s">
        <v>79</v>
      </c>
      <c r="K10" s="1" t="s">
        <v>82</v>
      </c>
      <c r="L10" s="5" t="s">
        <v>39</v>
      </c>
      <c r="M10" s="5">
        <v>1</v>
      </c>
      <c r="N10" s="5">
        <v>1</v>
      </c>
      <c r="O10" s="5">
        <v>25</v>
      </c>
      <c r="P10" s="9">
        <v>844.42700000000002</v>
      </c>
      <c r="Q10" s="10">
        <v>11.231</v>
      </c>
      <c r="R10" s="28">
        <f t="shared" si="1"/>
        <v>5.2054632508038833E-3</v>
      </c>
      <c r="S10" s="28">
        <f t="shared" si="2"/>
        <v>4.3956337164865706</v>
      </c>
      <c r="T10" s="28">
        <f t="shared" si="3"/>
        <v>5.2054632508038833E-3</v>
      </c>
      <c r="U10" s="10">
        <v>826.08699999999999</v>
      </c>
      <c r="V10" s="10">
        <v>865.61300000000006</v>
      </c>
      <c r="W10" s="21"/>
      <c r="X10" s="21"/>
      <c r="Y10" s="70"/>
      <c r="Z10" s="70"/>
      <c r="AA10" s="21"/>
      <c r="AB10" s="34">
        <f t="shared" si="4"/>
        <v>1.6888540000000001</v>
      </c>
      <c r="AC10" s="34">
        <f t="shared" si="5"/>
        <v>7.944700460829492</v>
      </c>
      <c r="AD10" s="34">
        <f t="shared" si="6"/>
        <v>11.231</v>
      </c>
      <c r="AE10" s="35">
        <f t="shared" si="7"/>
        <v>2.6099999999999999E-3</v>
      </c>
      <c r="AF10" s="34"/>
      <c r="AG10" s="69">
        <f t="shared" si="8"/>
        <v>13.860225866042743</v>
      </c>
      <c r="AH10" s="69"/>
      <c r="AI10" s="69"/>
      <c r="AJ10" s="36">
        <v>434</v>
      </c>
      <c r="AK10" s="36">
        <v>862</v>
      </c>
      <c r="AL10" s="36">
        <f t="shared" si="9"/>
        <v>0.50348027842227383</v>
      </c>
      <c r="AM10" s="36">
        <f t="shared" si="10"/>
        <v>1.986175115207373</v>
      </c>
      <c r="AN10" s="36">
        <v>1</v>
      </c>
      <c r="AO10" s="36" t="s">
        <v>175</v>
      </c>
      <c r="AP10" s="6"/>
      <c r="AQ10" s="6"/>
      <c r="AR10" s="3"/>
      <c r="AS10" s="3"/>
    </row>
    <row r="11" spans="1:45" s="73" customFormat="1" x14ac:dyDescent="0.3">
      <c r="A11" s="73">
        <v>3057</v>
      </c>
      <c r="B11" s="73" t="s">
        <v>43</v>
      </c>
      <c r="C11" s="73" t="s">
        <v>9</v>
      </c>
      <c r="D11" s="73">
        <v>870</v>
      </c>
      <c r="E11" s="73">
        <f t="shared" si="0"/>
        <v>87</v>
      </c>
      <c r="F11" s="73" t="s">
        <v>12</v>
      </c>
      <c r="G11" s="73" t="s">
        <v>44</v>
      </c>
      <c r="H11" s="73" t="s">
        <v>45</v>
      </c>
      <c r="I11" s="73" t="s">
        <v>38</v>
      </c>
      <c r="J11" s="73" t="s">
        <v>79</v>
      </c>
      <c r="K11" s="73" t="s">
        <v>83</v>
      </c>
      <c r="L11" s="73" t="s">
        <v>39</v>
      </c>
      <c r="M11" s="73">
        <v>1</v>
      </c>
      <c r="N11" s="73">
        <v>1</v>
      </c>
      <c r="O11" s="73">
        <v>27</v>
      </c>
      <c r="P11" s="74">
        <v>824.63499999999999</v>
      </c>
      <c r="Q11" s="75">
        <v>18.516999999999999</v>
      </c>
      <c r="R11" s="76">
        <f t="shared" si="1"/>
        <v>2.4466768030540582E-3</v>
      </c>
      <c r="S11" s="76">
        <f t="shared" si="2"/>
        <v>2.0176153254864833</v>
      </c>
      <c r="T11" s="76">
        <f t="shared" si="3"/>
        <v>2.4466768030540582E-3</v>
      </c>
      <c r="U11" s="75">
        <v>796.44299999999998</v>
      </c>
      <c r="V11" s="75">
        <v>856.06</v>
      </c>
      <c r="W11" s="77"/>
      <c r="X11" s="77"/>
      <c r="Y11" s="84"/>
      <c r="Z11" s="84"/>
      <c r="AA11" s="77"/>
      <c r="AB11" s="78">
        <f t="shared" si="4"/>
        <v>1.64927</v>
      </c>
      <c r="AC11" s="78">
        <f t="shared" si="5"/>
        <v>7.944700460829492</v>
      </c>
      <c r="AD11" s="78">
        <f t="shared" si="6"/>
        <v>18.516999999999999</v>
      </c>
      <c r="AE11" s="79">
        <f t="shared" si="7"/>
        <v>2.6099999999999999E-3</v>
      </c>
      <c r="AF11" s="78"/>
      <c r="AG11" s="80">
        <f t="shared" si="8"/>
        <v>20.216766624693086</v>
      </c>
      <c r="AH11" s="80"/>
      <c r="AI11" s="80"/>
      <c r="AJ11" s="81">
        <v>434</v>
      </c>
      <c r="AK11" s="81">
        <v>862</v>
      </c>
      <c r="AL11" s="81">
        <f t="shared" si="9"/>
        <v>0.50348027842227383</v>
      </c>
      <c r="AM11" s="81">
        <f t="shared" si="10"/>
        <v>1.986175115207373</v>
      </c>
      <c r="AN11" s="81">
        <v>0</v>
      </c>
      <c r="AO11" s="73" t="s">
        <v>179</v>
      </c>
      <c r="AP11" s="82"/>
      <c r="AQ11" s="82"/>
      <c r="AR11" s="82"/>
      <c r="AS11" s="82"/>
    </row>
    <row r="12" spans="1:45" s="40" customFormat="1" ht="15" thickBot="1" x14ac:dyDescent="0.35">
      <c r="A12" s="40">
        <v>3057</v>
      </c>
      <c r="B12" s="40" t="s">
        <v>47</v>
      </c>
      <c r="C12" s="40" t="s">
        <v>9</v>
      </c>
      <c r="D12" s="40">
        <v>870</v>
      </c>
      <c r="E12" s="40">
        <f t="shared" si="0"/>
        <v>87</v>
      </c>
      <c r="F12" s="40" t="s">
        <v>12</v>
      </c>
      <c r="G12" s="40" t="s">
        <v>44</v>
      </c>
      <c r="H12" s="40" t="s">
        <v>46</v>
      </c>
      <c r="I12" s="40" t="s">
        <v>38</v>
      </c>
      <c r="J12" s="40" t="s">
        <v>79</v>
      </c>
      <c r="K12" s="40" t="s">
        <v>84</v>
      </c>
      <c r="L12" s="41" t="s">
        <v>39</v>
      </c>
      <c r="M12" s="41">
        <v>1</v>
      </c>
      <c r="N12" s="41">
        <v>1</v>
      </c>
      <c r="O12" s="41">
        <v>29</v>
      </c>
      <c r="P12" s="42">
        <v>836.03662068965491</v>
      </c>
      <c r="Q12" s="43">
        <v>6.7739853400121701</v>
      </c>
      <c r="R12" s="44">
        <f t="shared" si="1"/>
        <v>8.9444655413388145E-3</v>
      </c>
      <c r="S12" s="44">
        <f t="shared" si="2"/>
        <v>7.4779007450559671</v>
      </c>
      <c r="T12" s="44">
        <f t="shared" si="3"/>
        <v>8.9444655413388145E-3</v>
      </c>
      <c r="U12" s="43">
        <v>820.15800000000002</v>
      </c>
      <c r="V12" s="43">
        <v>845.85</v>
      </c>
      <c r="W12" s="45"/>
      <c r="X12" s="45"/>
      <c r="Y12" s="71"/>
      <c r="Z12" s="71"/>
      <c r="AA12" s="45"/>
      <c r="AB12" s="46">
        <f t="shared" si="4"/>
        <v>1.6720732413793098</v>
      </c>
      <c r="AC12" s="46">
        <f t="shared" si="5"/>
        <v>7.944700460829492</v>
      </c>
      <c r="AD12" s="46">
        <f t="shared" si="6"/>
        <v>6.7739853400121701</v>
      </c>
      <c r="AE12" s="47">
        <f t="shared" si="7"/>
        <v>2.6099999999999999E-3</v>
      </c>
      <c r="AF12" s="46"/>
      <c r="AG12" s="71">
        <f t="shared" si="8"/>
        <v>10.573598183004727</v>
      </c>
      <c r="AH12" s="70"/>
      <c r="AI12" s="70"/>
      <c r="AJ12" s="36">
        <v>434</v>
      </c>
      <c r="AK12" s="36">
        <v>862</v>
      </c>
      <c r="AL12" s="36">
        <f t="shared" si="9"/>
        <v>0.50348027842227383</v>
      </c>
      <c r="AM12" s="36">
        <f t="shared" si="10"/>
        <v>1.986175115207373</v>
      </c>
      <c r="AN12" s="40">
        <v>0</v>
      </c>
      <c r="AO12" s="40" t="s">
        <v>178</v>
      </c>
      <c r="AP12" s="66"/>
      <c r="AQ12" s="66"/>
      <c r="AR12" s="52"/>
      <c r="AS12" s="52"/>
    </row>
    <row r="14" spans="1:45" ht="15" thickBot="1" x14ac:dyDescent="0.35">
      <c r="W14">
        <f>X3/W3*100</f>
        <v>5.1011003240321182</v>
      </c>
    </row>
    <row r="15" spans="1:45" x14ac:dyDescent="0.3">
      <c r="P15">
        <f>817-60</f>
        <v>757</v>
      </c>
      <c r="R15" s="90">
        <v>737</v>
      </c>
      <c r="S15" s="90" t="s">
        <v>203</v>
      </c>
      <c r="T15">
        <f>$U$26*EXP(-1*(R15-$U$27)^2/2/$U$28^2)</f>
        <v>0.30463443214720215</v>
      </c>
      <c r="U15" s="91"/>
    </row>
    <row r="16" spans="1:45" x14ac:dyDescent="0.3">
      <c r="P16">
        <f>817-40</f>
        <v>777</v>
      </c>
      <c r="R16" s="87">
        <v>757</v>
      </c>
      <c r="S16" s="88">
        <v>2</v>
      </c>
      <c r="T16">
        <f>$U$26*EXP(-1*(R16-$U$27)^2/2/$U$28^2)</f>
        <v>0.67422030468334471</v>
      </c>
      <c r="U16">
        <f>(S16-T16)^2</f>
        <v>1.757691800513923</v>
      </c>
    </row>
    <row r="17" spans="16:21" x14ac:dyDescent="0.3">
      <c r="P17">
        <f>817-20</f>
        <v>797</v>
      </c>
      <c r="R17" s="87">
        <v>777</v>
      </c>
      <c r="S17" s="88">
        <v>0</v>
      </c>
      <c r="T17">
        <f t="shared" ref="T17:T23" si="11">$U$26*EXP(-1*(R17-$U$27)^2/2/$U$28^2)</f>
        <v>1.1894472636631401</v>
      </c>
      <c r="U17">
        <f t="shared" ref="U17:U22" si="12">(S17-T17)^2</f>
        <v>1.4147847930357316</v>
      </c>
    </row>
    <row r="18" spans="16:21" x14ac:dyDescent="0.3">
      <c r="P18">
        <v>817</v>
      </c>
      <c r="R18" s="87">
        <v>797</v>
      </c>
      <c r="S18" s="88">
        <v>0</v>
      </c>
      <c r="T18">
        <f t="shared" si="11"/>
        <v>1.6726654302984838</v>
      </c>
      <c r="U18">
        <f t="shared" si="12"/>
        <v>2.7978096417156122</v>
      </c>
    </row>
    <row r="19" spans="16:21" x14ac:dyDescent="0.3">
      <c r="P19">
        <f>817+20</f>
        <v>837</v>
      </c>
      <c r="R19" s="87">
        <v>817</v>
      </c>
      <c r="S19" s="88">
        <v>3</v>
      </c>
      <c r="T19">
        <f t="shared" si="11"/>
        <v>1.8749664308525953</v>
      </c>
      <c r="U19">
        <f t="shared" si="12"/>
        <v>1.2657005317085483</v>
      </c>
    </row>
    <row r="20" spans="16:21" x14ac:dyDescent="0.3">
      <c r="P20">
        <f>817+40</f>
        <v>857</v>
      </c>
      <c r="R20" s="87">
        <v>837</v>
      </c>
      <c r="S20" s="88">
        <v>2</v>
      </c>
      <c r="T20">
        <f t="shared" si="11"/>
        <v>1.6753225630686619</v>
      </c>
      <c r="U20">
        <f t="shared" si="12"/>
        <v>0.10541543805230304</v>
      </c>
    </row>
    <row r="21" spans="16:21" x14ac:dyDescent="0.3">
      <c r="P21">
        <f>817+60</f>
        <v>877</v>
      </c>
      <c r="R21" s="87">
        <v>857</v>
      </c>
      <c r="S21" s="88">
        <v>1</v>
      </c>
      <c r="T21">
        <f t="shared" si="11"/>
        <v>1.1932292867573497</v>
      </c>
      <c r="U21">
        <f t="shared" si="12"/>
        <v>3.7337557260754092E-2</v>
      </c>
    </row>
    <row r="22" spans="16:21" x14ac:dyDescent="0.3">
      <c r="R22" s="87">
        <v>877</v>
      </c>
      <c r="S22" s="88">
        <v>2</v>
      </c>
      <c r="T22">
        <f t="shared" si="11"/>
        <v>0.67743853393207609</v>
      </c>
      <c r="U22">
        <f t="shared" si="12"/>
        <v>1.7491688315277363</v>
      </c>
    </row>
    <row r="23" spans="16:21" ht="15" thickBot="1" x14ac:dyDescent="0.35">
      <c r="R23" s="89">
        <v>897</v>
      </c>
      <c r="S23" s="89">
        <v>0</v>
      </c>
      <c r="T23">
        <f t="shared" si="11"/>
        <v>0.30657477230970598</v>
      </c>
    </row>
    <row r="24" spans="16:21" x14ac:dyDescent="0.3">
      <c r="T24" t="s">
        <v>207</v>
      </c>
      <c r="U24">
        <f>SUM(U16:U22)</f>
        <v>9.1279085938146078</v>
      </c>
    </row>
    <row r="26" spans="16:21" x14ac:dyDescent="0.3">
      <c r="T26" t="s">
        <v>204</v>
      </c>
      <c r="U26">
        <v>1.8749690349744466</v>
      </c>
    </row>
    <row r="27" spans="16:21" x14ac:dyDescent="0.3">
      <c r="T27" t="s">
        <v>205</v>
      </c>
      <c r="U27">
        <v>817.07</v>
      </c>
    </row>
    <row r="28" spans="16:21" x14ac:dyDescent="0.3">
      <c r="T28" t="s">
        <v>206</v>
      </c>
      <c r="U28">
        <v>42</v>
      </c>
    </row>
    <row r="39" spans="1:45" x14ac:dyDescent="0.3">
      <c r="W39">
        <f>X41/W41*100</f>
        <v>6.0942337814059684</v>
      </c>
    </row>
    <row r="41" spans="1:45" s="1" customFormat="1" x14ac:dyDescent="0.3">
      <c r="A41" s="1">
        <v>5275</v>
      </c>
      <c r="B41" s="1" t="s">
        <v>50</v>
      </c>
      <c r="C41" s="1" t="s">
        <v>9</v>
      </c>
      <c r="D41" s="1">
        <v>500</v>
      </c>
      <c r="E41" s="1">
        <f>0.1*D41</f>
        <v>50</v>
      </c>
      <c r="F41" s="1" t="s">
        <v>12</v>
      </c>
      <c r="G41" s="1" t="s">
        <v>15</v>
      </c>
      <c r="H41" s="1" t="s">
        <v>28</v>
      </c>
      <c r="J41" s="1" t="s">
        <v>59</v>
      </c>
      <c r="K41" s="1" t="s">
        <v>68</v>
      </c>
      <c r="L41" s="5" t="s">
        <v>66</v>
      </c>
      <c r="M41" s="5">
        <v>1</v>
      </c>
      <c r="N41" s="5">
        <v>1</v>
      </c>
      <c r="O41" s="5">
        <v>39</v>
      </c>
      <c r="P41" s="9">
        <v>508</v>
      </c>
      <c r="Q41" s="10">
        <v>7</v>
      </c>
      <c r="R41" s="28">
        <f t="shared" ref="R41:R49" si="13">1/((AG41)^2)</f>
        <v>1.5511381379190104E-2</v>
      </c>
      <c r="S41" s="28">
        <f t="shared" ref="S41:S49" si="14">P41*R41</f>
        <v>7.8797817406285731</v>
      </c>
      <c r="T41" s="28">
        <f t="shared" ref="T41:T49" si="15">AG41^2*R41^2</f>
        <v>1.5511381379190104E-2</v>
      </c>
      <c r="U41" s="10">
        <v>495</v>
      </c>
      <c r="V41" s="10">
        <v>527</v>
      </c>
      <c r="W41" s="21">
        <f>AVERAGE(P41:P49)</f>
        <v>481.969696969697</v>
      </c>
      <c r="X41" s="21">
        <f>STDEV(P41:P49)</f>
        <v>29.37236008886725</v>
      </c>
      <c r="Y41" s="70">
        <f>SUM(S41:S49)/SUM(R41:R49)</f>
        <v>482.25035281236882</v>
      </c>
      <c r="Z41" s="70">
        <f>SQRT(1/SUM(R41:R49))</f>
        <v>2.7859570718688089</v>
      </c>
      <c r="AA41" s="21"/>
      <c r="AB41" s="34">
        <f t="shared" ref="AB41:AB49" si="16">IF(P41*0.2%=0,"",P41*0.2%)</f>
        <v>1.016</v>
      </c>
      <c r="AC41" s="34">
        <f t="shared" ref="AC41:AC49" si="17">4*AM41</f>
        <v>7.9647054230273699</v>
      </c>
      <c r="AD41" s="34">
        <f>$X$24</f>
        <v>0</v>
      </c>
      <c r="AE41" s="35">
        <f t="shared" ref="AE41:AE49" si="18">3*D41*0.000001*M41</f>
        <v>1.5E-3</v>
      </c>
      <c r="AF41" s="34"/>
      <c r="AG41" s="69">
        <f t="shared" ref="AG41:AG49" si="19">SQRT(AB41^2+AC41^2+AD41^2+AE41^2)</f>
        <v>8.0292459624551036</v>
      </c>
      <c r="AH41" s="69"/>
      <c r="AI41" s="69"/>
      <c r="AJ41" s="3">
        <v>256.13</v>
      </c>
      <c r="AK41" s="3">
        <v>510</v>
      </c>
      <c r="AL41" s="1">
        <f t="shared" ref="AL41:AL49" si="20">AJ41/AK41</f>
        <v>0.50221568627450974</v>
      </c>
      <c r="AM41" s="1">
        <f t="shared" ref="AM41:AM49" si="21">1/AL41</f>
        <v>1.9911763557568425</v>
      </c>
      <c r="AO41" s="1" t="s">
        <v>57</v>
      </c>
      <c r="AP41" s="6"/>
      <c r="AQ41" s="6"/>
      <c r="AR41" s="3"/>
      <c r="AS41" s="3"/>
    </row>
    <row r="42" spans="1:45" s="1" customFormat="1" x14ac:dyDescent="0.3">
      <c r="A42" s="1">
        <v>5275</v>
      </c>
      <c r="B42" s="1" t="s">
        <v>51</v>
      </c>
      <c r="C42" s="1" t="s">
        <v>9</v>
      </c>
      <c r="D42" s="1">
        <v>500</v>
      </c>
      <c r="E42" s="1">
        <f t="shared" ref="E42:E49" si="22">0.1*D42</f>
        <v>50</v>
      </c>
      <c r="F42" s="1" t="s">
        <v>12</v>
      </c>
      <c r="G42" s="1" t="s">
        <v>15</v>
      </c>
      <c r="H42" s="1" t="s">
        <v>28</v>
      </c>
      <c r="J42" s="1" t="s">
        <v>59</v>
      </c>
      <c r="K42" s="1" t="s">
        <v>68</v>
      </c>
      <c r="L42" s="5" t="s">
        <v>66</v>
      </c>
      <c r="M42" s="5">
        <v>1</v>
      </c>
      <c r="N42" s="5">
        <v>2</v>
      </c>
      <c r="O42" s="5">
        <v>11</v>
      </c>
      <c r="P42" s="9">
        <v>430.7272727272728</v>
      </c>
      <c r="Q42" s="10">
        <v>5.2362373722150775</v>
      </c>
      <c r="R42" s="28">
        <f t="shared" si="13"/>
        <v>1.5507032157082021E-2</v>
      </c>
      <c r="S42" s="28">
        <f t="shared" si="14"/>
        <v>6.6793016691140572</v>
      </c>
      <c r="T42" s="28">
        <f t="shared" si="15"/>
        <v>1.5507032157082021E-2</v>
      </c>
      <c r="U42" s="10">
        <v>422</v>
      </c>
      <c r="V42" s="10">
        <v>440</v>
      </c>
      <c r="W42" s="21"/>
      <c r="X42" s="21"/>
      <c r="Y42" s="70"/>
      <c r="Z42" s="70"/>
      <c r="AA42" s="21"/>
      <c r="AB42" s="34">
        <f t="shared" si="16"/>
        <v>0.86145454545454558</v>
      </c>
      <c r="AC42" s="34">
        <f t="shared" si="17"/>
        <v>7.9840319361277441</v>
      </c>
      <c r="AD42" s="34">
        <f t="shared" ref="AD42:AD49" si="23">$X$24</f>
        <v>0</v>
      </c>
      <c r="AE42" s="35">
        <f t="shared" si="18"/>
        <v>1.5E-3</v>
      </c>
      <c r="AF42" s="34"/>
      <c r="AG42" s="69">
        <f t="shared" si="19"/>
        <v>8.0303718557107935</v>
      </c>
      <c r="AH42" s="69"/>
      <c r="AI42" s="69"/>
      <c r="AJ42" s="3">
        <v>215.43</v>
      </c>
      <c r="AK42" s="3">
        <v>430</v>
      </c>
      <c r="AL42" s="1">
        <f t="shared" si="20"/>
        <v>0.501</v>
      </c>
      <c r="AM42" s="1">
        <f t="shared" si="21"/>
        <v>1.996007984031936</v>
      </c>
      <c r="AO42" s="1" t="s">
        <v>57</v>
      </c>
      <c r="AP42" s="6"/>
      <c r="AQ42" s="6"/>
      <c r="AR42" s="3"/>
      <c r="AS42" s="3"/>
    </row>
    <row r="43" spans="1:45" s="1" customFormat="1" x14ac:dyDescent="0.3">
      <c r="A43" s="1">
        <v>5275</v>
      </c>
      <c r="B43" s="1" t="s">
        <v>30</v>
      </c>
      <c r="C43" s="1" t="s">
        <v>9</v>
      </c>
      <c r="D43" s="1">
        <v>500</v>
      </c>
      <c r="E43" s="1">
        <f t="shared" si="22"/>
        <v>50</v>
      </c>
      <c r="F43" s="1" t="s">
        <v>12</v>
      </c>
      <c r="G43" s="1" t="s">
        <v>15</v>
      </c>
      <c r="H43" s="1" t="s">
        <v>28</v>
      </c>
      <c r="J43" s="1" t="s">
        <v>59</v>
      </c>
      <c r="K43" s="1" t="s">
        <v>68</v>
      </c>
      <c r="L43" s="5" t="s">
        <v>66</v>
      </c>
      <c r="M43" s="5">
        <v>1</v>
      </c>
      <c r="N43" s="5">
        <v>1</v>
      </c>
      <c r="O43" s="5">
        <v>16</v>
      </c>
      <c r="P43" s="9">
        <v>465</v>
      </c>
      <c r="Q43" s="10">
        <v>8</v>
      </c>
      <c r="R43" s="28">
        <f t="shared" si="13"/>
        <v>1.5590398967594015E-2</v>
      </c>
      <c r="S43" s="28">
        <f t="shared" si="14"/>
        <v>7.249535519931217</v>
      </c>
      <c r="T43" s="28">
        <f t="shared" si="15"/>
        <v>1.5590398967594015E-2</v>
      </c>
      <c r="U43" s="10">
        <v>449</v>
      </c>
      <c r="V43" s="10">
        <v>480</v>
      </c>
      <c r="W43" s="21"/>
      <c r="X43" s="21"/>
      <c r="Y43" s="70"/>
      <c r="Z43" s="70"/>
      <c r="AA43" s="21"/>
      <c r="AB43" s="34">
        <f t="shared" si="16"/>
        <v>0.93</v>
      </c>
      <c r="AC43" s="34">
        <f t="shared" si="17"/>
        <v>7.9546928364532441</v>
      </c>
      <c r="AD43" s="34">
        <f t="shared" si="23"/>
        <v>0</v>
      </c>
      <c r="AE43" s="35">
        <f t="shared" si="18"/>
        <v>1.5E-3</v>
      </c>
      <c r="AF43" s="34"/>
      <c r="AG43" s="69">
        <f t="shared" si="19"/>
        <v>8.0088726030771991</v>
      </c>
      <c r="AH43" s="69"/>
      <c r="AI43" s="69"/>
      <c r="AJ43" s="3">
        <v>231.31</v>
      </c>
      <c r="AK43" s="3">
        <v>460</v>
      </c>
      <c r="AL43" s="1">
        <f t="shared" si="20"/>
        <v>0.50284782608695655</v>
      </c>
      <c r="AM43" s="1">
        <f t="shared" si="21"/>
        <v>1.988673209113311</v>
      </c>
      <c r="AO43" s="1" t="s">
        <v>57</v>
      </c>
      <c r="AP43" s="6"/>
      <c r="AQ43" s="6"/>
      <c r="AR43" s="3"/>
      <c r="AS43" s="3"/>
    </row>
    <row r="44" spans="1:45" s="1" customFormat="1" x14ac:dyDescent="0.3">
      <c r="A44" s="1">
        <v>5275</v>
      </c>
      <c r="B44" s="1" t="s">
        <v>52</v>
      </c>
      <c r="C44" s="1" t="s">
        <v>9</v>
      </c>
      <c r="D44" s="1">
        <v>500</v>
      </c>
      <c r="E44" s="1">
        <f t="shared" si="22"/>
        <v>50</v>
      </c>
      <c r="F44" s="1" t="s">
        <v>12</v>
      </c>
      <c r="G44" s="1" t="s">
        <v>15</v>
      </c>
      <c r="H44" s="1" t="s">
        <v>28</v>
      </c>
      <c r="J44" s="1" t="s">
        <v>59</v>
      </c>
      <c r="K44" s="1" t="s">
        <v>68</v>
      </c>
      <c r="L44" s="5" t="s">
        <v>66</v>
      </c>
      <c r="M44" s="5">
        <v>1</v>
      </c>
      <c r="N44" s="5">
        <v>2</v>
      </c>
      <c r="O44" s="5">
        <v>20</v>
      </c>
      <c r="P44" s="9">
        <v>463</v>
      </c>
      <c r="Q44" s="10">
        <v>8</v>
      </c>
      <c r="R44" s="28">
        <f t="shared" si="13"/>
        <v>1.5974762387371725E-2</v>
      </c>
      <c r="S44" s="28">
        <f t="shared" si="14"/>
        <v>7.3963149853531087</v>
      </c>
      <c r="T44" s="28">
        <f t="shared" si="15"/>
        <v>1.5974762387371725E-2</v>
      </c>
      <c r="U44" s="10">
        <v>443</v>
      </c>
      <c r="V44" s="10">
        <v>483</v>
      </c>
      <c r="W44" s="21"/>
      <c r="X44" s="21"/>
      <c r="Y44" s="70"/>
      <c r="Z44" s="70"/>
      <c r="AA44" s="21"/>
      <c r="AB44" s="34">
        <f t="shared" si="16"/>
        <v>0.92600000000000005</v>
      </c>
      <c r="AC44" s="34">
        <f t="shared" si="17"/>
        <v>7.8575608125052252</v>
      </c>
      <c r="AD44" s="34">
        <f t="shared" si="23"/>
        <v>0</v>
      </c>
      <c r="AE44" s="35">
        <f t="shared" si="18"/>
        <v>1.5E-3</v>
      </c>
      <c r="AF44" s="34"/>
      <c r="AG44" s="69">
        <f t="shared" si="19"/>
        <v>7.911936562701813</v>
      </c>
      <c r="AH44" s="69"/>
      <c r="AI44" s="69"/>
      <c r="AJ44" s="3">
        <v>239.26</v>
      </c>
      <c r="AK44" s="3">
        <v>470</v>
      </c>
      <c r="AL44" s="1">
        <f t="shared" si="20"/>
        <v>0.50906382978723397</v>
      </c>
      <c r="AM44" s="1">
        <f t="shared" si="21"/>
        <v>1.9643902031263063</v>
      </c>
      <c r="AO44" s="1" t="s">
        <v>55</v>
      </c>
      <c r="AP44" s="6"/>
      <c r="AQ44" s="6"/>
      <c r="AR44" s="3"/>
      <c r="AS44" s="3"/>
    </row>
    <row r="45" spans="1:45" s="1" customFormat="1" x14ac:dyDescent="0.3">
      <c r="A45" s="1">
        <v>5275</v>
      </c>
      <c r="B45" s="1" t="s">
        <v>14</v>
      </c>
      <c r="C45" s="1" t="s">
        <v>9</v>
      </c>
      <c r="D45" s="1">
        <v>500</v>
      </c>
      <c r="E45" s="1">
        <f t="shared" si="22"/>
        <v>50</v>
      </c>
      <c r="F45" s="1" t="s">
        <v>12</v>
      </c>
      <c r="G45" s="1" t="s">
        <v>44</v>
      </c>
      <c r="H45" s="1" t="s">
        <v>28</v>
      </c>
      <c r="J45" s="1" t="s">
        <v>59</v>
      </c>
      <c r="K45" s="1" t="s">
        <v>69</v>
      </c>
      <c r="L45" s="5" t="s">
        <v>66</v>
      </c>
      <c r="M45" s="5">
        <v>1</v>
      </c>
      <c r="N45" s="5">
        <v>1</v>
      </c>
      <c r="O45" s="5">
        <v>41</v>
      </c>
      <c r="P45" s="9">
        <v>534</v>
      </c>
      <c r="Q45" s="10">
        <v>6</v>
      </c>
      <c r="R45" s="28">
        <f t="shared" si="13"/>
        <v>1.5347093892560741E-2</v>
      </c>
      <c r="S45" s="28">
        <f t="shared" si="14"/>
        <v>8.1953481386274358</v>
      </c>
      <c r="T45" s="28">
        <f t="shared" si="15"/>
        <v>1.5347093892560743E-2</v>
      </c>
      <c r="U45" s="10">
        <v>524</v>
      </c>
      <c r="V45" s="10">
        <v>555</v>
      </c>
      <c r="W45" s="21"/>
      <c r="X45" s="21"/>
      <c r="Y45" s="70"/>
      <c r="Z45" s="70"/>
      <c r="AA45" s="21"/>
      <c r="AB45" s="34">
        <f t="shared" si="16"/>
        <v>1.0680000000000001</v>
      </c>
      <c r="AC45" s="34">
        <f t="shared" si="17"/>
        <v>8.0011430204314902</v>
      </c>
      <c r="AD45" s="34">
        <f t="shared" si="23"/>
        <v>0</v>
      </c>
      <c r="AE45" s="35">
        <f t="shared" si="18"/>
        <v>1.5E-3</v>
      </c>
      <c r="AF45" s="34"/>
      <c r="AG45" s="69">
        <f t="shared" si="19"/>
        <v>8.0721072765046635</v>
      </c>
      <c r="AH45" s="69"/>
      <c r="AI45" s="69"/>
      <c r="AJ45" s="3">
        <v>279.95999999999998</v>
      </c>
      <c r="AK45" s="3">
        <v>560</v>
      </c>
      <c r="AL45" s="1">
        <f t="shared" si="20"/>
        <v>0.49992857142857139</v>
      </c>
      <c r="AM45" s="1">
        <f t="shared" si="21"/>
        <v>2.0002857551078725</v>
      </c>
      <c r="AO45" s="1" t="s">
        <v>58</v>
      </c>
      <c r="AP45" s="6"/>
      <c r="AQ45" s="6"/>
      <c r="AR45" s="3"/>
      <c r="AS45" s="3"/>
    </row>
    <row r="46" spans="1:45" s="1" customFormat="1" x14ac:dyDescent="0.3">
      <c r="A46" s="1">
        <v>5275</v>
      </c>
      <c r="B46" s="1" t="s">
        <v>53</v>
      </c>
      <c r="C46" s="1" t="s">
        <v>9</v>
      </c>
      <c r="D46" s="1">
        <v>500</v>
      </c>
      <c r="E46" s="1">
        <f t="shared" si="22"/>
        <v>50</v>
      </c>
      <c r="F46" s="1" t="s">
        <v>12</v>
      </c>
      <c r="G46" s="1" t="s">
        <v>44</v>
      </c>
      <c r="H46" s="1" t="s">
        <v>28</v>
      </c>
      <c r="J46" s="1" t="s">
        <v>59</v>
      </c>
      <c r="K46" s="1" t="s">
        <v>69</v>
      </c>
      <c r="L46" s="5" t="s">
        <v>66</v>
      </c>
      <c r="M46" s="5">
        <v>1</v>
      </c>
      <c r="N46" s="5">
        <v>2</v>
      </c>
      <c r="O46" s="5">
        <v>41</v>
      </c>
      <c r="P46" s="9">
        <v>494</v>
      </c>
      <c r="Q46" s="10">
        <v>8</v>
      </c>
      <c r="R46" s="28">
        <f t="shared" si="13"/>
        <v>1.5532464029501864E-2</v>
      </c>
      <c r="S46" s="28">
        <f t="shared" si="14"/>
        <v>7.6730372305739207</v>
      </c>
      <c r="T46" s="28">
        <f t="shared" si="15"/>
        <v>1.5532464029501864E-2</v>
      </c>
      <c r="U46" s="10">
        <v>472</v>
      </c>
      <c r="V46" s="10">
        <v>508</v>
      </c>
      <c r="W46" s="21"/>
      <c r="X46" s="21"/>
      <c r="Y46" s="70"/>
      <c r="Z46" s="70"/>
      <c r="AA46" s="21"/>
      <c r="AB46" s="34">
        <f t="shared" si="16"/>
        <v>0.98799999999999999</v>
      </c>
      <c r="AC46" s="34">
        <f t="shared" si="17"/>
        <v>7.9627344029939877</v>
      </c>
      <c r="AD46" s="34">
        <f t="shared" si="23"/>
        <v>0</v>
      </c>
      <c r="AE46" s="35">
        <f t="shared" si="18"/>
        <v>1.5E-3</v>
      </c>
      <c r="AF46" s="34"/>
      <c r="AG46" s="69">
        <f t="shared" si="19"/>
        <v>8.0237949514318974</v>
      </c>
      <c r="AH46" s="69"/>
      <c r="AI46" s="69"/>
      <c r="AJ46" s="3">
        <v>251.17</v>
      </c>
      <c r="AK46" s="3">
        <v>500</v>
      </c>
      <c r="AL46" s="1">
        <f t="shared" si="20"/>
        <v>0.50234000000000001</v>
      </c>
      <c r="AM46" s="1">
        <f t="shared" si="21"/>
        <v>1.9906836007484969</v>
      </c>
      <c r="AO46" s="1" t="s">
        <v>56</v>
      </c>
      <c r="AP46" s="6"/>
      <c r="AQ46" s="6"/>
      <c r="AR46" s="3"/>
      <c r="AS46" s="3"/>
    </row>
    <row r="47" spans="1:45" s="1" customFormat="1" x14ac:dyDescent="0.3">
      <c r="A47" s="1">
        <v>5275</v>
      </c>
      <c r="B47" s="1" t="s">
        <v>20</v>
      </c>
      <c r="C47" s="1" t="s">
        <v>9</v>
      </c>
      <c r="D47" s="1">
        <v>500</v>
      </c>
      <c r="E47" s="1">
        <f t="shared" si="22"/>
        <v>50</v>
      </c>
      <c r="F47" s="1" t="s">
        <v>12</v>
      </c>
      <c r="G47" s="1" t="s">
        <v>44</v>
      </c>
      <c r="H47" s="1" t="s">
        <v>28</v>
      </c>
      <c r="J47" s="1" t="s">
        <v>59</v>
      </c>
      <c r="K47" s="1" t="s">
        <v>69</v>
      </c>
      <c r="L47" s="5" t="s">
        <v>70</v>
      </c>
      <c r="M47" s="5">
        <v>1</v>
      </c>
      <c r="N47" s="5">
        <v>1</v>
      </c>
      <c r="O47" s="5">
        <v>37</v>
      </c>
      <c r="P47" s="9">
        <v>477</v>
      </c>
      <c r="Q47" s="10">
        <v>7</v>
      </c>
      <c r="R47" s="28">
        <f t="shared" si="13"/>
        <v>1.0087132533846821E-2</v>
      </c>
      <c r="S47" s="28">
        <f t="shared" si="14"/>
        <v>4.8115622186449336</v>
      </c>
      <c r="T47" s="28">
        <f t="shared" si="15"/>
        <v>1.0087132533846821E-2</v>
      </c>
      <c r="U47" s="10">
        <v>465</v>
      </c>
      <c r="V47" s="10">
        <v>490</v>
      </c>
      <c r="W47" s="21"/>
      <c r="X47" s="21"/>
      <c r="Y47" s="70"/>
      <c r="Z47" s="70"/>
      <c r="AA47" s="21"/>
      <c r="AB47" s="34">
        <f t="shared" si="16"/>
        <v>0.95400000000000007</v>
      </c>
      <c r="AC47" s="34">
        <f t="shared" si="17"/>
        <v>9.9109072697559171</v>
      </c>
      <c r="AD47" s="34">
        <f t="shared" si="23"/>
        <v>0</v>
      </c>
      <c r="AE47" s="35">
        <f t="shared" si="18"/>
        <v>1.5E-3</v>
      </c>
      <c r="AF47" s="34"/>
      <c r="AG47" s="69">
        <f t="shared" si="19"/>
        <v>9.9567163844161346</v>
      </c>
      <c r="AH47" s="69"/>
      <c r="AI47" s="69"/>
      <c r="AJ47" s="3">
        <v>189.69</v>
      </c>
      <c r="AK47" s="3">
        <v>470</v>
      </c>
      <c r="AL47" s="1">
        <f t="shared" si="20"/>
        <v>0.40359574468085108</v>
      </c>
      <c r="AM47" s="1">
        <f t="shared" si="21"/>
        <v>2.4777268174389793</v>
      </c>
      <c r="AO47" s="1" t="s">
        <v>60</v>
      </c>
      <c r="AP47" s="6"/>
      <c r="AQ47" s="6"/>
      <c r="AR47" s="3"/>
      <c r="AS47" s="3"/>
    </row>
    <row r="48" spans="1:45" s="1" customFormat="1" x14ac:dyDescent="0.3">
      <c r="A48" s="1">
        <v>5275</v>
      </c>
      <c r="B48" s="1" t="s">
        <v>54</v>
      </c>
      <c r="C48" s="1" t="s">
        <v>9</v>
      </c>
      <c r="D48" s="1">
        <v>500</v>
      </c>
      <c r="E48" s="1">
        <f t="shared" si="22"/>
        <v>50</v>
      </c>
      <c r="F48" s="1" t="s">
        <v>12</v>
      </c>
      <c r="G48" s="1" t="s">
        <v>44</v>
      </c>
      <c r="H48" s="1" t="s">
        <v>28</v>
      </c>
      <c r="J48" s="1" t="s">
        <v>59</v>
      </c>
      <c r="K48" s="1" t="s">
        <v>69</v>
      </c>
      <c r="L48" s="5" t="s">
        <v>70</v>
      </c>
      <c r="M48" s="5">
        <v>1</v>
      </c>
      <c r="N48" s="5">
        <v>2</v>
      </c>
      <c r="O48" s="5">
        <v>41</v>
      </c>
      <c r="P48" s="9">
        <v>477</v>
      </c>
      <c r="Q48" s="10">
        <v>10</v>
      </c>
      <c r="R48" s="28">
        <f t="shared" si="13"/>
        <v>9.8689316439171601E-3</v>
      </c>
      <c r="S48" s="28">
        <f t="shared" si="14"/>
        <v>4.7074803941484857</v>
      </c>
      <c r="T48" s="28">
        <f t="shared" si="15"/>
        <v>9.8689316439171601E-3</v>
      </c>
      <c r="U48" s="10">
        <v>456</v>
      </c>
      <c r="V48" s="10">
        <v>500</v>
      </c>
      <c r="W48" s="21"/>
      <c r="X48" s="21"/>
      <c r="Y48" s="70"/>
      <c r="Z48" s="70"/>
      <c r="AA48" s="21"/>
      <c r="AB48" s="34">
        <f t="shared" si="16"/>
        <v>0.95400000000000007</v>
      </c>
      <c r="AC48" s="34">
        <f t="shared" si="17"/>
        <v>10.020876826722338</v>
      </c>
      <c r="AD48" s="34">
        <f t="shared" si="23"/>
        <v>0</v>
      </c>
      <c r="AE48" s="35">
        <f t="shared" si="18"/>
        <v>1.5E-3</v>
      </c>
      <c r="AF48" s="34"/>
      <c r="AG48" s="69">
        <f t="shared" si="19"/>
        <v>10.0661855052617</v>
      </c>
      <c r="AH48" s="69"/>
      <c r="AI48" s="69"/>
      <c r="AJ48" s="3">
        <v>191.6</v>
      </c>
      <c r="AK48" s="3">
        <v>480</v>
      </c>
      <c r="AL48" s="1">
        <f t="shared" si="20"/>
        <v>0.39916666666666667</v>
      </c>
      <c r="AM48" s="1">
        <f t="shared" si="21"/>
        <v>2.5052192066805845</v>
      </c>
      <c r="AO48" s="1" t="s">
        <v>56</v>
      </c>
      <c r="AP48" s="6"/>
      <c r="AQ48" s="6"/>
      <c r="AR48" s="3"/>
      <c r="AS48" s="3"/>
    </row>
    <row r="49" spans="1:45" s="40" customFormat="1" ht="15" thickBot="1" x14ac:dyDescent="0.35">
      <c r="A49" s="40">
        <v>5275</v>
      </c>
      <c r="B49" s="40" t="s">
        <v>47</v>
      </c>
      <c r="C49" s="40" t="s">
        <v>9</v>
      </c>
      <c r="D49" s="40">
        <v>500</v>
      </c>
      <c r="E49" s="40">
        <f t="shared" si="22"/>
        <v>50</v>
      </c>
      <c r="F49" s="40" t="s">
        <v>12</v>
      </c>
      <c r="G49" s="40" t="s">
        <v>44</v>
      </c>
      <c r="H49" s="40" t="s">
        <v>28</v>
      </c>
      <c r="J49" s="40" t="s">
        <v>62</v>
      </c>
      <c r="K49" s="40" t="s">
        <v>71</v>
      </c>
      <c r="L49" s="41" t="s">
        <v>66</v>
      </c>
      <c r="M49" s="41">
        <v>1</v>
      </c>
      <c r="N49" s="41">
        <v>1</v>
      </c>
      <c r="O49" s="41">
        <v>38</v>
      </c>
      <c r="P49" s="42">
        <v>489</v>
      </c>
      <c r="Q49" s="43">
        <v>6</v>
      </c>
      <c r="R49" s="44">
        <f t="shared" si="13"/>
        <v>1.5420934564610661E-2</v>
      </c>
      <c r="S49" s="44">
        <f t="shared" si="14"/>
        <v>7.5408370020946132</v>
      </c>
      <c r="T49" s="44">
        <f t="shared" si="15"/>
        <v>1.5420934564610663E-2</v>
      </c>
      <c r="U49" s="43">
        <v>469</v>
      </c>
      <c r="V49" s="43">
        <v>500</v>
      </c>
      <c r="W49" s="45"/>
      <c r="X49" s="45"/>
      <c r="Y49" s="71"/>
      <c r="Z49" s="71"/>
      <c r="AA49" s="45"/>
      <c r="AB49" s="46">
        <f t="shared" si="16"/>
        <v>0.97799999999999998</v>
      </c>
      <c r="AC49" s="46">
        <f t="shared" si="17"/>
        <v>7.993148729660291</v>
      </c>
      <c r="AD49" s="34">
        <f t="shared" si="23"/>
        <v>0</v>
      </c>
      <c r="AE49" s="47">
        <f t="shared" si="18"/>
        <v>1.5E-3</v>
      </c>
      <c r="AF49" s="46"/>
      <c r="AG49" s="71">
        <f t="shared" si="19"/>
        <v>8.0527580905221487</v>
      </c>
      <c r="AH49" s="71"/>
      <c r="AI49" s="71"/>
      <c r="AJ49" s="52">
        <v>245.21</v>
      </c>
      <c r="AK49" s="52">
        <v>490</v>
      </c>
      <c r="AL49" s="40">
        <f t="shared" si="20"/>
        <v>0.50042857142857144</v>
      </c>
      <c r="AM49" s="40">
        <f t="shared" si="21"/>
        <v>1.9982871824150727</v>
      </c>
      <c r="AO49" s="40" t="s">
        <v>64</v>
      </c>
      <c r="AP49" s="66"/>
      <c r="AQ49" s="66"/>
      <c r="AR49" s="52"/>
      <c r="AS49" s="52"/>
    </row>
    <row r="51" spans="1:45" ht="15" thickBot="1" x14ac:dyDescent="0.35"/>
    <row r="52" spans="1:45" x14ac:dyDescent="0.3">
      <c r="X52" s="90" t="s">
        <v>201</v>
      </c>
      <c r="Y52" s="90" t="s">
        <v>203</v>
      </c>
    </row>
    <row r="53" spans="1:45" x14ac:dyDescent="0.3">
      <c r="V53" s="91">
        <f t="shared" ref="V53:V55" si="24">V54-15</f>
        <v>421.969696969697</v>
      </c>
      <c r="X53" s="92">
        <v>421.969696969697</v>
      </c>
      <c r="Y53" s="88">
        <v>0</v>
      </c>
    </row>
    <row r="54" spans="1:45" x14ac:dyDescent="0.3">
      <c r="V54" s="91">
        <f t="shared" si="24"/>
        <v>436.969696969697</v>
      </c>
      <c r="X54" s="92">
        <v>436.969696969697</v>
      </c>
      <c r="Y54" s="88">
        <v>1</v>
      </c>
    </row>
    <row r="55" spans="1:45" x14ac:dyDescent="0.3">
      <c r="V55" s="91">
        <f t="shared" si="24"/>
        <v>451.969696969697</v>
      </c>
      <c r="X55" s="92">
        <v>451.969696969697</v>
      </c>
      <c r="Y55" s="88">
        <v>0</v>
      </c>
    </row>
    <row r="56" spans="1:45" x14ac:dyDescent="0.3">
      <c r="V56" s="91">
        <f>V57-15</f>
        <v>466.969696969697</v>
      </c>
      <c r="X56" s="92">
        <v>466.969696969697</v>
      </c>
      <c r="Y56" s="88">
        <v>2</v>
      </c>
    </row>
    <row r="57" spans="1:45" x14ac:dyDescent="0.3">
      <c r="V57" s="91">
        <f>W41</f>
        <v>481.969696969697</v>
      </c>
      <c r="X57" s="92">
        <v>481.969696969697</v>
      </c>
      <c r="Y57" s="88">
        <v>2</v>
      </c>
    </row>
    <row r="58" spans="1:45" x14ac:dyDescent="0.3">
      <c r="V58" s="91">
        <f>V57+15</f>
        <v>496.969696969697</v>
      </c>
      <c r="X58" s="92">
        <v>496.969696969697</v>
      </c>
      <c r="Y58" s="88">
        <v>2</v>
      </c>
    </row>
    <row r="59" spans="1:45" x14ac:dyDescent="0.3">
      <c r="V59" s="91">
        <f t="shared" ref="V59:V61" si="25">V58+15</f>
        <v>511.969696969697</v>
      </c>
      <c r="X59" s="92">
        <v>511.969696969697</v>
      </c>
      <c r="Y59" s="88">
        <v>1</v>
      </c>
    </row>
    <row r="60" spans="1:45" x14ac:dyDescent="0.3">
      <c r="V60" s="91">
        <f t="shared" si="25"/>
        <v>526.969696969697</v>
      </c>
      <c r="X60" s="92">
        <v>526.969696969697</v>
      </c>
      <c r="Y60" s="88">
        <v>0</v>
      </c>
    </row>
    <row r="61" spans="1:45" x14ac:dyDescent="0.3">
      <c r="V61" s="91">
        <f t="shared" si="25"/>
        <v>541.969696969697</v>
      </c>
      <c r="X61" s="92">
        <v>541.969696969697</v>
      </c>
      <c r="Y61" s="88">
        <v>1</v>
      </c>
    </row>
    <row r="62" spans="1:45" ht="15" thickBot="1" x14ac:dyDescent="0.35">
      <c r="X62" s="89" t="s">
        <v>202</v>
      </c>
      <c r="Y62" s="89">
        <v>0</v>
      </c>
    </row>
    <row r="63" spans="1:45" ht="15" thickBot="1" x14ac:dyDescent="0.35">
      <c r="X63" s="89"/>
      <c r="Y63" s="89"/>
    </row>
  </sheetData>
  <sortState ref="X53:X61">
    <sortCondition ref="X53"/>
  </sortState>
  <conditionalFormatting sqref="A3:XFD12">
    <cfRule type="expression" dxfId="1" priority="2">
      <formula>MOD(ROW(),2)=0</formula>
    </cfRule>
  </conditionalFormatting>
  <conditionalFormatting sqref="A41:XFD49">
    <cfRule type="expression" dxfId="0" priority="1">
      <formula>MOD(ROW(),2)=0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7"/>
  <sheetViews>
    <sheetView workbookViewId="0">
      <selection activeCell="H24" sqref="H24"/>
    </sheetView>
  </sheetViews>
  <sheetFormatPr defaultRowHeight="13.8" x14ac:dyDescent="0.25"/>
  <cols>
    <col min="1" max="7" width="9.44140625" style="85" customWidth="1"/>
    <col min="8" max="9" width="8.88671875" style="85"/>
    <col min="10" max="12" width="8.88671875" style="2"/>
    <col min="13" max="13" width="13.109375" style="2" bestFit="1" customWidth="1"/>
    <col min="14" max="21" width="8.88671875" style="2"/>
    <col min="22" max="22" width="13.5546875" style="2" bestFit="1" customWidth="1"/>
    <col min="23" max="25" width="8.88671875" style="2"/>
    <col min="26" max="16384" width="8.88671875" style="85"/>
  </cols>
  <sheetData>
    <row r="1" spans="2:27" x14ac:dyDescent="0.25">
      <c r="E1" s="85" t="s">
        <v>200</v>
      </c>
      <c r="F1" s="85" t="s">
        <v>199</v>
      </c>
      <c r="G1" s="85" t="s">
        <v>198</v>
      </c>
    </row>
    <row r="2" spans="2:27" x14ac:dyDescent="0.25">
      <c r="B2" s="86" t="s">
        <v>197</v>
      </c>
      <c r="C2" s="86"/>
      <c r="E2" s="85">
        <v>44.033533283727927</v>
      </c>
      <c r="F2" s="85">
        <v>0.31886394596847917</v>
      </c>
    </row>
    <row r="4" spans="2:27" x14ac:dyDescent="0.25">
      <c r="B4" s="85" t="s">
        <v>196</v>
      </c>
      <c r="C4" s="85" t="s">
        <v>195</v>
      </c>
      <c r="D4" s="85" t="s">
        <v>194</v>
      </c>
      <c r="E4" s="85" t="s">
        <v>193</v>
      </c>
      <c r="F4" s="85" t="s">
        <v>192</v>
      </c>
      <c r="H4" s="85" t="s">
        <v>191</v>
      </c>
      <c r="I4" s="85" t="s">
        <v>190</v>
      </c>
      <c r="J4" s="85"/>
      <c r="K4" s="85"/>
      <c r="Z4" s="2"/>
      <c r="AA4" s="2"/>
    </row>
    <row r="5" spans="2:27" x14ac:dyDescent="0.25">
      <c r="B5" s="85">
        <v>0</v>
      </c>
      <c r="C5" s="85">
        <f t="shared" ref="C5:C15" si="0">B5*0.1</f>
        <v>0</v>
      </c>
      <c r="E5" s="85">
        <f>$E$2/1*$F$2*H5</f>
        <v>0</v>
      </c>
      <c r="J5" s="85"/>
      <c r="K5" s="85"/>
      <c r="Z5" s="2"/>
      <c r="AA5" s="2"/>
    </row>
    <row r="6" spans="2:27" x14ac:dyDescent="0.25">
      <c r="B6" s="85">
        <v>0.05</v>
      </c>
      <c r="C6" s="85">
        <f t="shared" si="0"/>
        <v>5.000000000000001E-3</v>
      </c>
      <c r="D6" s="85">
        <v>43.07</v>
      </c>
      <c r="E6" s="85">
        <f>$E$2/1*$F$2*H6</f>
        <v>0</v>
      </c>
      <c r="J6" s="85"/>
      <c r="K6" s="85"/>
      <c r="Z6" s="2"/>
      <c r="AA6" s="2"/>
    </row>
    <row r="7" spans="2:27" x14ac:dyDescent="0.25">
      <c r="B7" s="85">
        <v>0.05</v>
      </c>
      <c r="C7" s="85">
        <f t="shared" si="0"/>
        <v>5.000000000000001E-3</v>
      </c>
      <c r="D7" s="85">
        <v>43.4</v>
      </c>
      <c r="E7" s="85">
        <f t="shared" ref="E7:E14" si="1">$E$2/(1+$F$2*H7)</f>
        <v>43.312743852363681</v>
      </c>
      <c r="F7" s="85">
        <f t="shared" ref="F7:F14" si="2">(D7-E7)^2</f>
        <v>7.6136353003308172E-3</v>
      </c>
      <c r="H7" s="85">
        <v>5.219E-2</v>
      </c>
      <c r="I7" s="85">
        <v>2.14E-3</v>
      </c>
      <c r="J7" s="85"/>
      <c r="K7" s="85"/>
      <c r="Z7" s="2"/>
      <c r="AA7" s="2"/>
    </row>
    <row r="8" spans="2:27" x14ac:dyDescent="0.25">
      <c r="B8" s="85">
        <v>0.22500000000000001</v>
      </c>
      <c r="C8" s="85">
        <f t="shared" si="0"/>
        <v>2.2500000000000003E-2</v>
      </c>
      <c r="D8" s="85">
        <v>40.92</v>
      </c>
      <c r="E8" s="85">
        <f t="shared" si="1"/>
        <v>41.200465279824876</v>
      </c>
      <c r="F8" s="85">
        <f t="shared" si="2"/>
        <v>7.866077318724482E-2</v>
      </c>
      <c r="H8" s="85">
        <v>0.21565000000000001</v>
      </c>
      <c r="I8" s="85">
        <v>2.1700000000000001E-3</v>
      </c>
      <c r="J8" s="85"/>
      <c r="K8" s="85"/>
      <c r="Z8" s="2"/>
      <c r="AA8" s="2"/>
    </row>
    <row r="9" spans="2:27" x14ac:dyDescent="0.25">
      <c r="B9" s="85">
        <v>0.35</v>
      </c>
      <c r="C9" s="85">
        <f t="shared" si="0"/>
        <v>3.4999999999999996E-2</v>
      </c>
      <c r="D9" s="85">
        <v>39.159999999999997</v>
      </c>
      <c r="E9" s="85">
        <f t="shared" si="1"/>
        <v>39.18553038097545</v>
      </c>
      <c r="F9" s="85">
        <f t="shared" si="2"/>
        <v>6.5180035275180727E-4</v>
      </c>
      <c r="H9" s="85">
        <v>0.38800000000000001</v>
      </c>
      <c r="I9" s="85">
        <v>2.1999999999999999E-2</v>
      </c>
      <c r="J9" s="85"/>
      <c r="K9" s="85"/>
      <c r="Z9" s="2"/>
      <c r="AA9" s="2"/>
    </row>
    <row r="10" spans="2:27" x14ac:dyDescent="0.25">
      <c r="B10" s="85">
        <v>0.5</v>
      </c>
      <c r="C10" s="85">
        <f t="shared" si="0"/>
        <v>0.05</v>
      </c>
      <c r="D10" s="85">
        <v>38.61</v>
      </c>
      <c r="E10" s="85">
        <f t="shared" si="1"/>
        <v>38.166531349206835</v>
      </c>
      <c r="F10" s="85">
        <f t="shared" si="2"/>
        <v>0.19666444423630963</v>
      </c>
      <c r="H10" s="85">
        <v>0.48209000000000002</v>
      </c>
      <c r="I10" s="85">
        <v>3.6600000000000001E-3</v>
      </c>
      <c r="J10" s="85"/>
      <c r="K10" s="85"/>
      <c r="Z10" s="2"/>
      <c r="AA10" s="2"/>
    </row>
    <row r="11" spans="2:27" x14ac:dyDescent="0.25">
      <c r="B11" s="85">
        <v>0.625</v>
      </c>
      <c r="C11" s="85">
        <f t="shared" si="0"/>
        <v>6.25E-2</v>
      </c>
      <c r="D11" s="85">
        <v>37.21</v>
      </c>
      <c r="E11" s="85">
        <f t="shared" si="1"/>
        <v>37.41142158650068</v>
      </c>
      <c r="F11" s="85">
        <f t="shared" si="2"/>
        <v>4.0570655508450508E-2</v>
      </c>
      <c r="H11" s="85">
        <v>0.55511999999999995</v>
      </c>
      <c r="I11" s="85">
        <v>8.8000000000000005E-3</v>
      </c>
      <c r="J11" s="85"/>
      <c r="K11" s="85"/>
      <c r="Z11" s="2"/>
      <c r="AA11" s="2"/>
    </row>
    <row r="12" spans="2:27" x14ac:dyDescent="0.25">
      <c r="B12" s="85">
        <v>0.75</v>
      </c>
      <c r="C12" s="85">
        <f t="shared" si="0"/>
        <v>7.5000000000000011E-2</v>
      </c>
      <c r="D12" s="85">
        <v>35.61</v>
      </c>
      <c r="E12" s="85">
        <f t="shared" si="1"/>
        <v>35.296457183293313</v>
      </c>
      <c r="F12" s="85">
        <f t="shared" si="2"/>
        <v>9.8309097908362661E-2</v>
      </c>
      <c r="H12" s="85">
        <v>0.77629999999999999</v>
      </c>
      <c r="I12" s="85">
        <v>1.24E-2</v>
      </c>
      <c r="J12" s="85"/>
      <c r="K12" s="85"/>
      <c r="Z12" s="2"/>
      <c r="AA12" s="2"/>
    </row>
    <row r="13" spans="2:27" x14ac:dyDescent="0.25">
      <c r="B13" s="85">
        <v>0.87</v>
      </c>
      <c r="C13" s="85">
        <f t="shared" si="0"/>
        <v>8.7000000000000008E-2</v>
      </c>
      <c r="D13" s="85">
        <v>34.61</v>
      </c>
      <c r="E13" s="85">
        <f t="shared" si="1"/>
        <v>34.839902039663308</v>
      </c>
      <c r="F13" s="85">
        <f t="shared" si="2"/>
        <v>5.2854947841349358E-2</v>
      </c>
      <c r="H13" s="85">
        <v>0.82757000000000003</v>
      </c>
      <c r="I13" s="85">
        <v>4.4799999999999996E-3</v>
      </c>
      <c r="J13" s="85"/>
      <c r="K13" s="85"/>
      <c r="Z13" s="2"/>
      <c r="AA13" s="2"/>
    </row>
    <row r="14" spans="2:27" x14ac:dyDescent="0.25">
      <c r="B14" s="85">
        <v>1</v>
      </c>
      <c r="C14" s="85">
        <f t="shared" si="0"/>
        <v>0.1</v>
      </c>
      <c r="D14" s="85">
        <v>33.65</v>
      </c>
      <c r="E14" s="85">
        <f t="shared" si="1"/>
        <v>33.758427407943017</v>
      </c>
      <c r="F14" s="85">
        <f t="shared" si="2"/>
        <v>1.1756502793241806E-2</v>
      </c>
      <c r="H14" s="85">
        <v>0.95455000000000001</v>
      </c>
      <c r="I14" s="85">
        <v>8.0499999999999999E-3</v>
      </c>
      <c r="J14" s="85"/>
      <c r="K14" s="85"/>
      <c r="Z14" s="2"/>
      <c r="AA14" s="2"/>
    </row>
    <row r="15" spans="2:27" x14ac:dyDescent="0.25">
      <c r="B15" s="85">
        <v>1.1000000000000001</v>
      </c>
      <c r="C15" s="85">
        <f t="shared" si="0"/>
        <v>0.11000000000000001</v>
      </c>
      <c r="E15" s="85">
        <f>$E$2/1*H12*H15</f>
        <v>0</v>
      </c>
      <c r="J15" s="85"/>
      <c r="K15" s="85"/>
      <c r="Z15" s="2"/>
      <c r="AA15" s="2"/>
    </row>
    <row r="16" spans="2:27" x14ac:dyDescent="0.25">
      <c r="F16" s="85">
        <f>SUM(F7:F14)</f>
        <v>0.48708185712804147</v>
      </c>
    </row>
    <row r="17" spans="2:5" x14ac:dyDescent="0.25">
      <c r="B17" s="85" t="s">
        <v>189</v>
      </c>
    </row>
    <row r="18" spans="2:5" x14ac:dyDescent="0.25">
      <c r="E18" s="85" t="s">
        <v>188</v>
      </c>
    </row>
    <row r="19" spans="2:5" x14ac:dyDescent="0.25">
      <c r="B19" s="85">
        <v>0.05</v>
      </c>
      <c r="D19" s="85">
        <v>31</v>
      </c>
      <c r="E19" s="85">
        <v>43.4</v>
      </c>
    </row>
    <row r="20" spans="2:5" x14ac:dyDescent="0.25">
      <c r="B20" s="85">
        <v>0.1</v>
      </c>
      <c r="D20" s="85">
        <v>30.2</v>
      </c>
      <c r="E20" s="85">
        <v>42.28</v>
      </c>
    </row>
    <row r="21" spans="2:5" x14ac:dyDescent="0.25">
      <c r="B21" s="85">
        <v>0.35</v>
      </c>
      <c r="D21" s="85">
        <v>29.2</v>
      </c>
      <c r="E21" s="85">
        <v>40.880000000000003</v>
      </c>
    </row>
    <row r="22" spans="2:5" x14ac:dyDescent="0.25">
      <c r="B22" s="85">
        <v>0.45</v>
      </c>
      <c r="D22" s="85">
        <v>27.8</v>
      </c>
      <c r="E22" s="85">
        <v>38.92</v>
      </c>
    </row>
    <row r="23" spans="2:5" x14ac:dyDescent="0.25">
      <c r="B23" s="85">
        <v>0.5</v>
      </c>
      <c r="D23" s="85">
        <v>27.3</v>
      </c>
      <c r="E23" s="85">
        <v>38.22</v>
      </c>
    </row>
    <row r="24" spans="2:5" x14ac:dyDescent="0.25">
      <c r="B24" s="85">
        <v>0.55000000000000004</v>
      </c>
      <c r="D24" s="85">
        <v>26.9</v>
      </c>
      <c r="E24" s="85">
        <v>37.659999999999997</v>
      </c>
    </row>
    <row r="25" spans="2:5" x14ac:dyDescent="0.25">
      <c r="B25" s="85">
        <v>0.85</v>
      </c>
      <c r="D25" s="85">
        <v>25.3</v>
      </c>
      <c r="E25" s="85">
        <v>35.42</v>
      </c>
    </row>
    <row r="26" spans="2:5" x14ac:dyDescent="0.25">
      <c r="B26" s="85">
        <v>0.95</v>
      </c>
      <c r="D26" s="85">
        <v>25</v>
      </c>
      <c r="E26" s="85">
        <v>35</v>
      </c>
    </row>
    <row r="27" spans="2:5" x14ac:dyDescent="0.25">
      <c r="B27" s="85">
        <v>1</v>
      </c>
      <c r="D27" s="85">
        <v>24.8</v>
      </c>
      <c r="E27" s="85">
        <v>34.72</v>
      </c>
    </row>
  </sheetData>
  <pageMargins left="0" right="0" top="0.39370000000000011" bottom="0.39370000000000011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graph</vt:lpstr>
      <vt:lpstr>angular info</vt:lpstr>
      <vt:lpstr>sources of error</vt:lpstr>
      <vt:lpstr>stats 870nm</vt:lpstr>
      <vt:lpstr>asymmetry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Marcy Stutzman</dc:creator>
  <cp:lastModifiedBy>Marcy Stutzman</cp:lastModifiedBy>
  <dcterms:created xsi:type="dcterms:W3CDTF">2015-06-01T13:06:10Z</dcterms:created>
  <dcterms:modified xsi:type="dcterms:W3CDTF">2015-06-05T17:43:48Z</dcterms:modified>
</cp:coreProperties>
</file>