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785" yWindow="375" windowWidth="24900" windowHeight="13785" tabRatio="816" activeTab="4"/>
  </bookViews>
  <sheets>
    <sheet name="Summary Sheet (2)" sheetId="21" r:id="rId1"/>
    <sheet name="MSSURV" sheetId="5" r:id="rId2"/>
    <sheet name="EESICS rev1" sheetId="22" r:id="rId3"/>
    <sheet name="EESICS" sheetId="6" r:id="rId4"/>
    <sheet name="EESRFS" sheetId="13" r:id="rId5"/>
    <sheet name="EESDCP 4-22-15" sheetId="9" r:id="rId6"/>
    <sheet name="EESSAF-ODH 4-22-15" sheetId="10" r:id="rId7"/>
    <sheet name="EESSAF-PSS" sheetId="19" r:id="rId8"/>
    <sheet name="MSCRYO" sheetId="8" r:id="rId9"/>
    <sheet name="MSMECH" sheetId="15" r:id="rId10"/>
    <sheet name="ACCCIS" sheetId="20" r:id="rId11"/>
    <sheet name="SRFOPS" sheetId="14" r:id="rId12"/>
    <sheet name="OPSSFT" sheetId="17" r:id="rId13"/>
    <sheet name="Facilities" sheetId="12" r:id="rId14"/>
    <sheet name="Summary Sheet" sheetId="18" r:id="rId15"/>
    <sheet name="Summary Sheet-old" sheetId="11" r:id="rId16"/>
  </sheets>
  <externalReferences>
    <externalReference r:id="rId19"/>
  </externalReferences>
  <definedNames>
    <definedName name="GNS">'[1]Block DC'!$B$18</definedName>
    <definedName name="_xlnm.Print_Area" localSheetId="14">'Summary Sheet'!$A$3:$K$62</definedName>
    <definedName name="_xlnm.Print_Area" localSheetId="0">'Summary Sheet (2)'!$A$3:$J$65</definedName>
    <definedName name="_xlnm.Print_Titles" localSheetId="6">'EESSAF-ODH 4-22-15'!$1:$9</definedName>
  </definedNames>
  <calcPr calcId="145621"/>
</workbook>
</file>

<file path=xl/comments1.xml><?xml version="1.0" encoding="utf-8"?>
<comments xmlns="http://schemas.openxmlformats.org/spreadsheetml/2006/main">
  <authors>
    <author>Kelly Hanifan</author>
  </authors>
  <commentList>
    <comment ref="B27" authorId="0">
      <text>
        <r>
          <rPr>
            <b/>
            <sz val="9"/>
            <rFont val="Tahoma"/>
            <family val="2"/>
          </rPr>
          <t xml:space="preserve">Kelly Hanifan:
</t>
        </r>
        <r>
          <rPr>
            <sz val="9"/>
            <rFont val="Tahoma"/>
            <family val="2"/>
          </rPr>
          <t>use 1.75% for raises in FY16:
- 3% divided by 12 months times 7
- raises start in March (7 mos thru Sep)
- 0.03 divided by 12 = 0.0025 times 7 = 0.0175</t>
        </r>
      </text>
    </comment>
    <comment ref="I4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HV Gun - only &gt;$50K ($125 total for the gun)</t>
        </r>
      </text>
    </comment>
  </commentList>
</comments>
</file>

<file path=xl/comments15.xml><?xml version="1.0" encoding="utf-8"?>
<comments xmlns="http://schemas.openxmlformats.org/spreadsheetml/2006/main">
  <authors>
    <author>Kelly Hanifan</author>
  </authors>
  <commentList>
    <comment ref="B27" authorId="0">
      <text>
        <r>
          <rPr>
            <b/>
            <sz val="9"/>
            <rFont val="Tahoma"/>
            <family val="2"/>
          </rPr>
          <t xml:space="preserve">Kelly Hanifan:
</t>
        </r>
        <r>
          <rPr>
            <sz val="9"/>
            <rFont val="Tahoma"/>
            <family val="2"/>
          </rPr>
          <t>use 1.75% for raises in FY16:
- 3% divided by 12 months times 7
- raises start in March (7 mos thru Sep)
- 0.03 divided by 12 = 0.0025 times 7 = 0.0175</t>
        </r>
      </text>
    </comment>
    <comment ref="I4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HV Gun - only &gt;$50K ($125 total for the gun)</t>
        </r>
      </text>
    </comment>
  </commentList>
</comments>
</file>

<file path=xl/comments2.xml><?xml version="1.0" encoding="utf-8"?>
<comments xmlns="http://schemas.openxmlformats.org/spreadsheetml/2006/main">
  <authors>
    <author>Kelly Hanifan</author>
  </authors>
  <commentList>
    <comment ref="H3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used Mech Eng III</t>
        </r>
      </text>
    </comment>
    <comment ref="M3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Used Mech Tech III</t>
        </r>
      </text>
    </comment>
  </commentList>
</comments>
</file>

<file path=xl/comments7.xml><?xml version="1.0" encoding="utf-8"?>
<comments xmlns="http://schemas.openxmlformats.org/spreadsheetml/2006/main">
  <authors>
    <author>Kelly Mahoney</author>
  </authors>
  <commentList>
    <comment ref="B43" authorId="0">
      <text>
        <r>
          <rPr>
            <sz val="8"/>
            <rFont val="Tahoma"/>
            <family val="2"/>
          </rPr>
          <t xml:space="preserve">
See the Generic Activities List for suggested tasks</t>
        </r>
      </text>
    </comment>
  </commentList>
</comments>
</file>

<file path=xl/sharedStrings.xml><?xml version="1.0" encoding="utf-8"?>
<sst xmlns="http://schemas.openxmlformats.org/spreadsheetml/2006/main" count="1281" uniqueCount="580">
  <si>
    <t>Tasks</t>
  </si>
  <si>
    <t>Labor - Hours</t>
  </si>
  <si>
    <t>Total Hrs</t>
  </si>
  <si>
    <t>SR STAFF</t>
  </si>
  <si>
    <t>ADMIN</t>
  </si>
  <si>
    <t>SCIENTIST</t>
  </si>
  <si>
    <t>COMP SCI</t>
  </si>
  <si>
    <t>ELEC ENG</t>
  </si>
  <si>
    <t>ELEC DES</t>
  </si>
  <si>
    <t>MECH DES</t>
  </si>
  <si>
    <t>ELEC TECH</t>
  </si>
  <si>
    <t>MECH TECH</t>
  </si>
  <si>
    <t>SKLLD TRADE</t>
  </si>
  <si>
    <t>Management Oversight</t>
  </si>
  <si>
    <t>Develop Architecture</t>
  </si>
  <si>
    <t>Change Control/ Design Review Process</t>
  </si>
  <si>
    <t>Develop drawings</t>
  </si>
  <si>
    <t>Specify Components</t>
  </si>
  <si>
    <t>Process procurements</t>
  </si>
  <si>
    <t>Develop workplan / hazard analysis</t>
  </si>
  <si>
    <t>Remove existing hardware (if required)</t>
  </si>
  <si>
    <t>Install new hardware components</t>
  </si>
  <si>
    <t>Install new network components</t>
  </si>
  <si>
    <t>Cable/fiber installation</t>
  </si>
  <si>
    <t>Conduit/tray installation</t>
  </si>
  <si>
    <t>Fabricate new chassis/interfaces/PCBs</t>
  </si>
  <si>
    <t>Rack installation / wiring</t>
  </si>
  <si>
    <t>Test integrity/continuity/QA</t>
  </si>
  <si>
    <t>Develop logic spec</t>
  </si>
  <si>
    <t>Develop logic</t>
  </si>
  <si>
    <t xml:space="preserve">Develop test procedures </t>
  </si>
  <si>
    <t>Develop HMI</t>
  </si>
  <si>
    <t>System test</t>
  </si>
  <si>
    <t>System Certification</t>
  </si>
  <si>
    <t>Final Documentation</t>
  </si>
  <si>
    <t>Training</t>
  </si>
  <si>
    <t>EESSAF</t>
  </si>
  <si>
    <t>EESRFS</t>
  </si>
  <si>
    <t xml:space="preserve"> </t>
  </si>
  <si>
    <t>Choppers</t>
  </si>
  <si>
    <t>MSSURV</t>
  </si>
  <si>
    <r>
      <t>Network:</t>
    </r>
    <r>
      <rPr>
        <sz val="11"/>
        <color theme="1"/>
        <rFont val="Calibri"/>
        <family val="2"/>
        <scheme val="minor"/>
      </rPr>
      <t xml:space="preserve"> ~20 stations (10 existing)</t>
    </r>
  </si>
  <si>
    <t>Layout</t>
  </si>
  <si>
    <t>Drilling / setting new monuments</t>
  </si>
  <si>
    <t>Tracker Obs</t>
  </si>
  <si>
    <t>Levels</t>
  </si>
  <si>
    <r>
      <t>Pase I / section 1:</t>
    </r>
    <r>
      <rPr>
        <sz val="11"/>
        <color theme="1"/>
        <rFont val="Calibri"/>
        <family val="2"/>
        <scheme val="minor"/>
      </rPr>
      <t xml:space="preserve"> 160kev (Up to A1 / A2)</t>
    </r>
  </si>
  <si>
    <t>Support layout</t>
  </si>
  <si>
    <t>Support alignment</t>
  </si>
  <si>
    <t>Component alignment (3 girders, 2 guns)</t>
  </si>
  <si>
    <r>
      <t>Pase I / section 2:</t>
    </r>
    <r>
      <rPr>
        <sz val="11"/>
        <color theme="1"/>
        <rFont val="Calibri"/>
        <family val="2"/>
        <scheme val="minor"/>
      </rPr>
      <t xml:space="preserve"> 500kev (Master slit, chopper, bnchr, dump)</t>
    </r>
  </si>
  <si>
    <t>Component alignment (2 girders, cavities,dump etc.)</t>
  </si>
  <si>
    <r>
      <t>Pase I / section 3:</t>
    </r>
    <r>
      <rPr>
        <sz val="11"/>
        <color theme="1"/>
        <rFont val="Calibri"/>
        <family val="2"/>
        <scheme val="minor"/>
      </rPr>
      <t xml:space="preserve"> SRF</t>
    </r>
  </si>
  <si>
    <t>Support layout / alignment</t>
  </si>
  <si>
    <t>1/4 cryomodule fiduc</t>
  </si>
  <si>
    <t>1/4 cryomodule align</t>
  </si>
  <si>
    <r>
      <t>Pase I / section 4:</t>
    </r>
    <r>
      <rPr>
        <sz val="11"/>
        <color theme="1"/>
        <rFont val="Calibri"/>
        <family val="2"/>
        <scheme val="minor"/>
      </rPr>
      <t xml:space="preserve"> HD-Ice</t>
    </r>
  </si>
  <si>
    <t>Component alignment (2 quads, harp, 2 BPMs, Fy cup)</t>
  </si>
  <si>
    <t>Target alignment</t>
  </si>
  <si>
    <t>ENG</t>
  </si>
  <si>
    <t>EESICS</t>
  </si>
  <si>
    <t>Beam Position Monitors</t>
  </si>
  <si>
    <t>Vacuum Valve Controls</t>
  </si>
  <si>
    <t>Convectron Gauge</t>
  </si>
  <si>
    <t>Cold Cathode Gauge</t>
  </si>
  <si>
    <t>Viewer</t>
  </si>
  <si>
    <t>ION Pump</t>
  </si>
  <si>
    <t>Insertable Pcup</t>
  </si>
  <si>
    <t>Aperature</t>
  </si>
  <si>
    <t>Insertable Cup</t>
  </si>
  <si>
    <t>Fast Valve</t>
  </si>
  <si>
    <t>1/4 cryo</t>
  </si>
  <si>
    <t>DP</t>
  </si>
  <si>
    <t>nA Cavity BPMs</t>
  </si>
  <si>
    <t>Harp</t>
  </si>
  <si>
    <t>EESDCP</t>
  </si>
  <si>
    <t>MSCRYO</t>
  </si>
  <si>
    <t>Pulling and terminating cables</t>
  </si>
  <si>
    <t>HCO</t>
  </si>
  <si>
    <t>Cryo to 1/4 and HD Ice</t>
  </si>
  <si>
    <t>MECH ENG</t>
  </si>
  <si>
    <t>PROCESS ENG</t>
  </si>
  <si>
    <t>let's imagine 17 stripline BPMs</t>
  </si>
  <si>
    <t>Combined TOTAL</t>
  </si>
  <si>
    <t>approx current</t>
  </si>
  <si>
    <t xml:space="preserve">skew quads </t>
  </si>
  <si>
    <t>&lt; 1 Amp</t>
  </si>
  <si>
    <t>corrector pairs</t>
  </si>
  <si>
    <t>solenoids</t>
  </si>
  <si>
    <t>&lt; 10 Amp</t>
  </si>
  <si>
    <t>15 degree dipole</t>
  </si>
  <si>
    <t>~ 30 degree dipole for spectrometer</t>
  </si>
  <si>
    <t>?</t>
  </si>
  <si>
    <t>dipoles</t>
  </si>
  <si>
    <t>need independent ~ 50A current supplies</t>
  </si>
  <si>
    <t>quads</t>
  </si>
  <si>
    <t>valves</t>
  </si>
  <si>
    <t>how many manual/pneumatic</t>
  </si>
  <si>
    <t>how many 2.75" vs 4.5"?</t>
  </si>
  <si>
    <t>viewers</t>
  </si>
  <si>
    <t>ion pumps</t>
  </si>
  <si>
    <t>ion pump supplies</t>
  </si>
  <si>
    <t>differential pumps (these will have ion pumps too, epics readable?)</t>
  </si>
  <si>
    <t xml:space="preserve">dumps </t>
  </si>
  <si>
    <t>insertable cups</t>
  </si>
  <si>
    <t>apertures</t>
  </si>
  <si>
    <t>picommeters (reading 4 apertures plus default cup or dump, switch to go between cups and dumps)</t>
  </si>
  <si>
    <t>stripline BPMs</t>
  </si>
  <si>
    <t>harps</t>
  </si>
  <si>
    <t>yao cavity</t>
  </si>
  <si>
    <t>BCM cavity</t>
  </si>
  <si>
    <t xml:space="preserve">Brock cavity </t>
  </si>
  <si>
    <t>YAG viewers could replace harps?</t>
  </si>
  <si>
    <t>10 valves</t>
  </si>
  <si>
    <t>what is convectron gauge used for?</t>
  </si>
  <si>
    <t>What is cold cathode gauge used for?</t>
  </si>
  <si>
    <t>14 viewers</t>
  </si>
  <si>
    <t>we have many many ion pumps available, and John H. will build his UHV ion pump supplies, but we need them cabled up</t>
  </si>
  <si>
    <t>3 insertable cups</t>
  </si>
  <si>
    <t>5 apertures</t>
  </si>
  <si>
    <t>mentioned above, 3 insertable cups</t>
  </si>
  <si>
    <t>no fast valve, we can't afford it, and the beamline is too short to do much good</t>
  </si>
  <si>
    <t>We decided to NOT use the nA cavity BPMs</t>
  </si>
  <si>
    <t>2 harps</t>
  </si>
  <si>
    <t>can you add BCM, and yao cavity?</t>
  </si>
  <si>
    <t xml:space="preserve">that's 36 independent current cards total, for the correctors </t>
  </si>
  <si>
    <t>don't know if this is a "card" or stand alone supply</t>
  </si>
  <si>
    <t>2.66 FTE</t>
  </si>
  <si>
    <t>FY15 Scope:</t>
  </si>
  <si>
    <t>Provide LHe and controls to the 1/4 cryomodule at the upgrade injector test facility: 86.5 PW, or 2 FTE</t>
  </si>
  <si>
    <t>FY16 Scope:</t>
  </si>
  <si>
    <t>22.5 PW or .5 FTE</t>
  </si>
  <si>
    <t>$42.5K procurements</t>
  </si>
  <si>
    <t>Hookup HDICE</t>
  </si>
  <si>
    <t>Plus some extra cost associated with heat exchanger in transfer can</t>
  </si>
  <si>
    <t>PW</t>
  </si>
  <si>
    <t>MECH TECH - PW</t>
  </si>
  <si>
    <t>ENG-PW</t>
  </si>
  <si>
    <t>Mech Tech - PW</t>
  </si>
  <si>
    <t>MECH ENG - PW</t>
  </si>
  <si>
    <t>Labor</t>
  </si>
  <si>
    <t>1 PW of Mech Tech III</t>
  </si>
  <si>
    <t>1 PW of Mech Eng III</t>
  </si>
  <si>
    <t>Spec/procure cable/lugs</t>
  </si>
  <si>
    <t>Spec/procure/build? 50A PSU</t>
  </si>
  <si>
    <t>24-120*</t>
  </si>
  <si>
    <t>16*</t>
  </si>
  <si>
    <t>80*</t>
  </si>
  <si>
    <t>We will assume we need this, but Joe Grames might tell us later that he prefers to use CEBAF-style 5 MeV magnet, which runs on trim card, I believe</t>
  </si>
  <si>
    <t>install and test 50A PSU</t>
  </si>
  <si>
    <t>procure 30+ 10A trim cards (turnkey?)</t>
  </si>
  <si>
    <t>test and calibrate 10A trim cards</t>
  </si>
  <si>
    <t>*build in house will save procurement $, but will take longer</t>
  </si>
  <si>
    <t>Procurements</t>
  </si>
  <si>
    <t>each</t>
  </si>
  <si>
    <t># to buy</t>
  </si>
  <si>
    <t>total</t>
  </si>
  <si>
    <t>32 trim cards</t>
  </si>
  <si>
    <t>2 50A/50V? PSU's</t>
  </si>
  <si>
    <t>cables</t>
  </si>
  <si>
    <t>~70 feet average run? 60 channels = 4200' required, 5x1000' spools? $1.5/ft?</t>
  </si>
  <si>
    <t>lugs</t>
  </si>
  <si>
    <t>Parts count from Matt</t>
  </si>
  <si>
    <t>Total</t>
  </si>
  <si>
    <t>Title</t>
  </si>
  <si>
    <t>UITF ODH System</t>
  </si>
  <si>
    <t>Funding FY</t>
  </si>
  <si>
    <t>Fiscal year Funding</t>
  </si>
  <si>
    <t>AWP</t>
  </si>
  <si>
    <t>Associated AWP Plan</t>
  </si>
  <si>
    <t>Deliverable</t>
  </si>
  <si>
    <t>What is final product</t>
  </si>
  <si>
    <t>Primary Customer</t>
  </si>
  <si>
    <t>Who receives the benefit</t>
  </si>
  <si>
    <t>Primary Contact(s)</t>
  </si>
  <si>
    <t>Contact</t>
  </si>
  <si>
    <t>Project Code(s)</t>
  </si>
  <si>
    <t>Project Code</t>
  </si>
  <si>
    <t>UITFBL</t>
  </si>
  <si>
    <t>Project Manager(s)</t>
  </si>
  <si>
    <t>Project Manager</t>
  </si>
  <si>
    <t>Matt Poelker</t>
  </si>
  <si>
    <t>SSG Principal</t>
  </si>
  <si>
    <t>SSG Project Manager</t>
  </si>
  <si>
    <t>Dan Sexton</t>
  </si>
  <si>
    <t>Required Project Complete Date</t>
  </si>
  <si>
    <t>Start Date (Calculated)</t>
  </si>
  <si>
    <t>End Date (Calculated)</t>
  </si>
  <si>
    <t>G&amp;A Rate (set to 0 if G&amp;A not used)</t>
  </si>
  <si>
    <t>Project Cost Summary</t>
  </si>
  <si>
    <t>Labor Hours</t>
  </si>
  <si>
    <t>hrs</t>
  </si>
  <si>
    <t>person weeks</t>
  </si>
  <si>
    <t>Labor $</t>
  </si>
  <si>
    <t>Procurements and Expenses $</t>
  </si>
  <si>
    <t>Subtotal</t>
  </si>
  <si>
    <t>G&amp;A</t>
  </si>
  <si>
    <t>Support Costs</t>
  </si>
  <si>
    <t>Labor Hours/yr</t>
  </si>
  <si>
    <t>hrs/yr</t>
  </si>
  <si>
    <t>person weeks/yr</t>
  </si>
  <si>
    <t>Labor $/yr</t>
  </si>
  <si>
    <t>Procurements and Expenses $/yr</t>
  </si>
  <si>
    <t>Subtotal/yr</t>
  </si>
  <si>
    <t>G&amp;A/yr</t>
  </si>
  <si>
    <t>Total/yr</t>
  </si>
  <si>
    <t>Project Start (RO)</t>
  </si>
  <si>
    <t>RO = Start Date</t>
  </si>
  <si>
    <t>Note; This section is for non-recurring costs associated with completion of a project</t>
  </si>
  <si>
    <t>Total Labor Hrs</t>
  </si>
  <si>
    <t>Total Labor $</t>
  </si>
  <si>
    <t>Total Exp $/yr</t>
  </si>
  <si>
    <t>Project Costs</t>
  </si>
  <si>
    <t>Total Labor Wks</t>
  </si>
  <si>
    <t>Total Labor k$</t>
  </si>
  <si>
    <t>Total Exp k$/yr</t>
  </si>
  <si>
    <t>Task ID</t>
  </si>
  <si>
    <t>Start Date</t>
  </si>
  <si>
    <t>End Date</t>
  </si>
  <si>
    <t>Duration, days</t>
  </si>
  <si>
    <t>Predecessor</t>
  </si>
  <si>
    <t>Procurements and Expenses</t>
  </si>
  <si>
    <t>Notes</t>
  </si>
  <si>
    <t xml:space="preserve"> Task ID(s)</t>
  </si>
  <si>
    <t>PLANT ENG</t>
  </si>
  <si>
    <t>OFFICE</t>
  </si>
  <si>
    <t>STUDENT</t>
  </si>
  <si>
    <t>Other</t>
  </si>
  <si>
    <t>Labor Cost</t>
  </si>
  <si>
    <t>Procurements - $</t>
  </si>
  <si>
    <t>Expenses - $</t>
  </si>
  <si>
    <t>Travel - $</t>
  </si>
  <si>
    <t>Other - $</t>
  </si>
  <si>
    <t>Total Proc &amp; Expenses</t>
  </si>
  <si>
    <t>Software????</t>
  </si>
  <si>
    <t>To add lines - Copy this line and insert</t>
  </si>
  <si>
    <t>Note: This section is for incremental recurring costs anticipated as a result of this project</t>
  </si>
  <si>
    <t>Total Labor Hrs/yr</t>
  </si>
  <si>
    <t>Total Labor $/yr</t>
  </si>
  <si>
    <t>Total Exp $</t>
  </si>
  <si>
    <t>Continuing Costs</t>
  </si>
  <si>
    <t>Per Facility</t>
  </si>
  <si>
    <t>Total Labor Wks/yr</t>
  </si>
  <si>
    <t>Total Labor k$/yr</t>
  </si>
  <si>
    <t>Total Exp k$</t>
  </si>
  <si>
    <t>Management</t>
  </si>
  <si>
    <t>Planning</t>
  </si>
  <si>
    <t>PM</t>
  </si>
  <si>
    <t>Metrics/Tracking</t>
  </si>
  <si>
    <t>Oversight</t>
  </si>
  <si>
    <t>Operations Training</t>
  </si>
  <si>
    <t>HOLIDAY</t>
  </si>
  <si>
    <t>OBSERVED</t>
  </si>
  <si>
    <t>DAY</t>
  </si>
  <si>
    <t>FY11</t>
  </si>
  <si>
    <t>Thanksgiving Day</t>
  </si>
  <si>
    <t>Thursday</t>
  </si>
  <si>
    <t>Day After Thanksgiving</t>
  </si>
  <si>
    <t>Friday</t>
  </si>
  <si>
    <t>Christmas Eve</t>
  </si>
  <si>
    <t>Christmas Day</t>
  </si>
  <si>
    <t>Monday</t>
  </si>
  <si>
    <t>Shutdown Day*</t>
  </si>
  <si>
    <t>Tuesday</t>
  </si>
  <si>
    <t>Wednesday</t>
  </si>
  <si>
    <t>New Year's Eve</t>
  </si>
  <si>
    <t>New Year's Day</t>
  </si>
  <si>
    <t>MLK Day</t>
  </si>
  <si>
    <t>President's Day</t>
  </si>
  <si>
    <t>Memorial Day</t>
  </si>
  <si>
    <t>Independence Day</t>
  </si>
  <si>
    <t>Labor Day</t>
  </si>
  <si>
    <t>FY12</t>
  </si>
  <si>
    <t>$/week</t>
  </si>
  <si>
    <t>Facilities</t>
  </si>
  <si>
    <t>DC Power</t>
  </si>
  <si>
    <t>PSS</t>
  </si>
  <si>
    <t>Cryo</t>
  </si>
  <si>
    <t>Gun Group</t>
  </si>
  <si>
    <t>SRF Support</t>
  </si>
  <si>
    <t>MPS</t>
  </si>
  <si>
    <t>ODH</t>
  </si>
  <si>
    <t>OPSSFT</t>
  </si>
  <si>
    <t>ACCCIS</t>
  </si>
  <si>
    <t>FM</t>
  </si>
  <si>
    <t>Survey/Alignment</t>
  </si>
  <si>
    <t>SEII</t>
  </si>
  <si>
    <t>FMF</t>
  </si>
  <si>
    <t>Thomas Renzo</t>
  </si>
  <si>
    <t>SE III</t>
  </si>
  <si>
    <t>Chrstine Snetter</t>
  </si>
  <si>
    <t>FME</t>
  </si>
  <si>
    <t>Paul Powers</t>
  </si>
  <si>
    <t>SE I</t>
  </si>
  <si>
    <t>Jason Willoughby</t>
  </si>
  <si>
    <t>SE II</t>
  </si>
  <si>
    <t>FMM</t>
  </si>
  <si>
    <t>FMFS</t>
  </si>
  <si>
    <t>Dave Kausch</t>
  </si>
  <si>
    <t>Resource Type</t>
  </si>
  <si>
    <t>Org</t>
  </si>
  <si>
    <t>Name</t>
  </si>
  <si>
    <t>FTEs</t>
  </si>
  <si>
    <t>LABOR:</t>
  </si>
  <si>
    <t>PROCUREMENTS:</t>
  </si>
  <si>
    <t>Direct Total</t>
  </si>
  <si>
    <t>Supplies and Materials</t>
  </si>
  <si>
    <t>UITF</t>
  </si>
  <si>
    <t>SE/MN</t>
  </si>
  <si>
    <t>EE/CS</t>
  </si>
  <si>
    <t>ET</t>
  </si>
  <si>
    <t>ED</t>
  </si>
  <si>
    <t>PH</t>
  </si>
  <si>
    <t>Total Weeks</t>
  </si>
  <si>
    <t xml:space="preserve">Labor </t>
  </si>
  <si>
    <t>Materials</t>
  </si>
  <si>
    <t>Shipping</t>
  </si>
  <si>
    <t>Travel</t>
  </si>
  <si>
    <t>Laser</t>
  </si>
  <si>
    <t>Buncher</t>
  </si>
  <si>
    <t>Quarter</t>
  </si>
  <si>
    <t xml:space="preserve">Total </t>
  </si>
  <si>
    <t>Total Procurement $</t>
  </si>
  <si>
    <t>Total Direct</t>
  </si>
  <si>
    <t>FY15</t>
  </si>
  <si>
    <t>FY14</t>
  </si>
  <si>
    <t>FY16</t>
  </si>
  <si>
    <t>Proc</t>
  </si>
  <si>
    <t>Inst &amp; Control</t>
  </si>
  <si>
    <t>Software &amp; Control</t>
  </si>
  <si>
    <t>Need to resolve labor discrepancy with rates C. Hovater is using - off by $100K</t>
  </si>
  <si>
    <t>Waiting for an update from J. Creel concerning heat exchanger</t>
  </si>
  <si>
    <t>Still waiting for estimates from vendors</t>
  </si>
  <si>
    <t>Waiting on H. Robertson</t>
  </si>
  <si>
    <t>Waiting on O. Garza</t>
  </si>
  <si>
    <t>John Fischer</t>
  </si>
  <si>
    <t>SRFOPS</t>
  </si>
  <si>
    <t>Joe Gubeli</t>
  </si>
  <si>
    <t>Shaun Gregory</t>
  </si>
  <si>
    <t>Dannie Machie</t>
  </si>
  <si>
    <t>MSMECH</t>
  </si>
  <si>
    <t>Mech Design</t>
  </si>
  <si>
    <t>MD  A/C</t>
  </si>
  <si>
    <t>ME II</t>
  </si>
  <si>
    <t>MT A/C</t>
  </si>
  <si>
    <t>EE II</t>
  </si>
  <si>
    <t>ET Sr.</t>
  </si>
  <si>
    <t xml:space="preserve">1/4 CM transfer line </t>
  </si>
  <si>
    <t>.5 FTE plus 42.5K</t>
  </si>
  <si>
    <t>Phil Adderley</t>
  </si>
  <si>
    <t>John Hansknecht</t>
  </si>
  <si>
    <t>Currently not charging any labor to the project - AWP has actuals</t>
  </si>
  <si>
    <t>Original Est.</t>
  </si>
  <si>
    <t>Revised Est.</t>
  </si>
  <si>
    <t>Actuals from PSR</t>
  </si>
  <si>
    <t>FY2016:</t>
  </si>
  <si>
    <t>FY2014:</t>
  </si>
  <si>
    <t>FY2015:</t>
  </si>
  <si>
    <t>DIRECT $</t>
  </si>
  <si>
    <t>System</t>
  </si>
  <si>
    <t>FTE</t>
  </si>
  <si>
    <t>Hours</t>
  </si>
  <si>
    <t>Legend</t>
  </si>
  <si>
    <t>Waiting</t>
  </si>
  <si>
    <t>Complete</t>
  </si>
  <si>
    <t>3% raises still needed for FY16</t>
  </si>
  <si>
    <t>FY14 G&amp;A</t>
  </si>
  <si>
    <t>FY15 G&amp;A</t>
  </si>
  <si>
    <t>FY16 G&amp;A</t>
  </si>
  <si>
    <t>Direct</t>
  </si>
  <si>
    <t>with G&amp;A (loaded)</t>
  </si>
  <si>
    <t>We already have CARMS and CARM controllers</t>
  </si>
  <si>
    <t>And for software, it's pretty straightforward:</t>
  </si>
  <si>
    <t>10 weeks labor for Brad Cumbia and Adam Carpenter to install the network stuff</t>
  </si>
  <si>
    <t>30 weeks labor for software support (Scott Higgins, George Lahti, and Marie Kissee)</t>
  </si>
  <si>
    <t>Brad Cumbia</t>
  </si>
  <si>
    <t>Adam Carpenter</t>
  </si>
  <si>
    <t>Scott Higgins</t>
  </si>
  <si>
    <t>George Lahti</t>
  </si>
  <si>
    <t>Marie Keesee</t>
  </si>
  <si>
    <t>OPSADM</t>
  </si>
  <si>
    <t>OPSAHL</t>
  </si>
  <si>
    <t>ELEC TECH: A/C I</t>
  </si>
  <si>
    <t>SCSC II</t>
  </si>
  <si>
    <t>SCSC III</t>
  </si>
  <si>
    <t>Personweeks</t>
  </si>
  <si>
    <t>ELEC TECH/AC II</t>
  </si>
  <si>
    <t>Original Est. provided by Hari</t>
  </si>
  <si>
    <t>Dfference from original estimate</t>
  </si>
  <si>
    <t>Gun NEG modules on half circle</t>
  </si>
  <si>
    <t>electronics rack bases</t>
  </si>
  <si>
    <t>gun SF6 tank</t>
  </si>
  <si>
    <t>gun HV supply interface</t>
  </si>
  <si>
    <t>stuff for buncher</t>
  </si>
  <si>
    <t>NEG flange at Y chamber</t>
  </si>
  <si>
    <t>gun manipultor</t>
  </si>
  <si>
    <t>machine shop jobs</t>
  </si>
  <si>
    <t>alignment cartridges</t>
  </si>
  <si>
    <t>80/20 structure</t>
  </si>
  <si>
    <t>Haimson coils</t>
  </si>
  <si>
    <t>YAG view screens</t>
  </si>
  <si>
    <t xml:space="preserve">differential pumps </t>
  </si>
  <si>
    <t>total cost</t>
  </si>
  <si>
    <t>unit cost</t>
  </si>
  <si>
    <t>to purchase</t>
  </si>
  <si>
    <t>in-house</t>
  </si>
  <si>
    <t>needed</t>
  </si>
  <si>
    <t>Procurement costs</t>
  </si>
  <si>
    <t>Total FTEs</t>
  </si>
  <si>
    <t>Joe Grames</t>
  </si>
  <si>
    <t>Optics modeling</t>
  </si>
  <si>
    <t>5MeV beam to cup upstream of HDIce</t>
  </si>
  <si>
    <t>350kV beam to cup upstream of 1/4</t>
  </si>
  <si>
    <t>construct laser table near beamline</t>
  </si>
  <si>
    <t>Deliver light to cave</t>
  </si>
  <si>
    <t>Drive laser in clean room</t>
  </si>
  <si>
    <t>Carlos Hernandez-Garcia</t>
  </si>
  <si>
    <t>Commission gun at 350kV</t>
  </si>
  <si>
    <t>Commission 400kV gun power supply</t>
  </si>
  <si>
    <t>Assemble 350kV gun and bakeout</t>
  </si>
  <si>
    <t>HV studies toward reliable 350kV gun</t>
  </si>
  <si>
    <t>Assemble MeV beamline</t>
  </si>
  <si>
    <t>Build girders for MeV beamline</t>
  </si>
  <si>
    <t>Assemble keV beamline</t>
  </si>
  <si>
    <t>Build girders for keV beamline</t>
  </si>
  <si>
    <t>A/C2</t>
  </si>
  <si>
    <t>EE3</t>
  </si>
  <si>
    <t>Scientist 3</t>
  </si>
  <si>
    <t>Labor - WEEKS</t>
  </si>
  <si>
    <t>CIS</t>
  </si>
  <si>
    <t>actuals as of 5-11-15</t>
  </si>
  <si>
    <t>Paul Hansen</t>
  </si>
  <si>
    <t>Tommy Hiatt</t>
  </si>
  <si>
    <t>Chuck Hutton</t>
  </si>
  <si>
    <t>only 1 &gt;$50K known at this time - power supplies purchased in FY15</t>
  </si>
  <si>
    <t>MECH DES: Sr. Tech</t>
  </si>
  <si>
    <t>ELEC ENG: Staff Eng III</t>
  </si>
  <si>
    <t>MECH DES:  Assoc/Coord Design</t>
  </si>
  <si>
    <t>MECH ENG:  Staff Eng III</t>
  </si>
  <si>
    <t>MECH ENG: Eng Support Mgr.</t>
  </si>
  <si>
    <t>Total Wks</t>
  </si>
  <si>
    <t>ELEC TECH:  Sen Assoc/Coord</t>
  </si>
  <si>
    <t>SCI: Staff Sci III</t>
  </si>
  <si>
    <t>Week</t>
  </si>
  <si>
    <t>Resource</t>
  </si>
  <si>
    <t>Type</t>
  </si>
  <si>
    <t>Karl Smith</t>
  </si>
  <si>
    <t>MECH DES: Assoc/Coord Design</t>
  </si>
  <si>
    <t>Shaun moves 3rd week of May to work on FRIB, replaced by Karl Smith per 5-6-15 email from Matt Poelker</t>
  </si>
  <si>
    <t>Weekly rate w/ fringe</t>
  </si>
  <si>
    <t>Procurements:</t>
  </si>
  <si>
    <t>Labor/wk</t>
  </si>
  <si>
    <t>1.75% raises for FY16 is included</t>
  </si>
  <si>
    <t>FY15 Total w/ Fringe</t>
  </si>
  <si>
    <t>FY16 Total w/ Fringe</t>
  </si>
  <si>
    <t>FY15 Weekly Rate</t>
  </si>
  <si>
    <t>FY16 Weekly Rate</t>
  </si>
  <si>
    <t>86k$ procurements for network stuff</t>
  </si>
  <si>
    <t>FY15 Weekly rate w/ fringe</t>
  </si>
  <si>
    <t>FY15 Labor $/</t>
  </si>
  <si>
    <t>FY16 Labor $/</t>
  </si>
  <si>
    <t>FY15 AWP</t>
  </si>
  <si>
    <t>FY16 AWP</t>
  </si>
  <si>
    <t>FY15 LABOR $/PW</t>
  </si>
  <si>
    <t>FY16 LABOR $/PW</t>
  </si>
  <si>
    <t>FY15 AWP Total w/ Fringe</t>
  </si>
  <si>
    <t>FY16 Weekly rate w/ fringe</t>
  </si>
  <si>
    <t>FY15 Labor Rate/week</t>
  </si>
  <si>
    <t>FY16 Labor Rate/week</t>
  </si>
  <si>
    <t>FY15Total Direct Labor with Fringe</t>
  </si>
  <si>
    <t>FY16 Total Direct Labor with Fringe</t>
  </si>
  <si>
    <t>FY15 Total Labor w/ Fringe</t>
  </si>
  <si>
    <t>FY16 Total Labor w/ Fringe</t>
  </si>
  <si>
    <t>FY15 Total Direct Labor $</t>
  </si>
  <si>
    <t>FY16 Total Direct Labor $</t>
  </si>
  <si>
    <t>FY15 AWP total</t>
  </si>
  <si>
    <t>FY15 Weekly labor rate w/ fringe</t>
  </si>
  <si>
    <t>FY16 AWP total</t>
  </si>
  <si>
    <t>FY16 Weekly labor rate w/ fringe</t>
  </si>
  <si>
    <t>FY15 Labor Total</t>
  </si>
  <si>
    <t>FY16 Labor Total</t>
  </si>
  <si>
    <t>FY16 Raise rate</t>
  </si>
  <si>
    <t>FY15 Total Direct</t>
  </si>
  <si>
    <t>FY16 Total Direct</t>
  </si>
  <si>
    <t>FY16 Labor:</t>
  </si>
  <si>
    <t>FY15 Labor:</t>
  </si>
  <si>
    <t>X</t>
  </si>
  <si>
    <t>EESIC System Instrumentation ONLY</t>
  </si>
  <si>
    <t>UNITS on HAND</t>
  </si>
  <si>
    <t>NEW UNITS</t>
  </si>
  <si>
    <t>Total Units</t>
  </si>
  <si>
    <t>Labor (MW)</t>
  </si>
  <si>
    <t>EE</t>
  </si>
  <si>
    <t>AC</t>
  </si>
  <si>
    <t>CS</t>
  </si>
  <si>
    <t>EF</t>
  </si>
  <si>
    <t>EL</t>
  </si>
  <si>
    <t>Misc Exp</t>
  </si>
  <si>
    <t>Start</t>
  </si>
  <si>
    <t>Finish</t>
  </si>
  <si>
    <t>Valve Instrumentation</t>
  </si>
  <si>
    <t>Viewer Instrumentation + New Assemblies</t>
  </si>
  <si>
    <t xml:space="preserve">Ion Pump </t>
  </si>
  <si>
    <t>Ion Pump Supplies * (JH Versions)</t>
  </si>
  <si>
    <t>**DP Stations</t>
  </si>
  <si>
    <t>Convectron Guages</t>
  </si>
  <si>
    <t>Dump Instrumentation</t>
  </si>
  <si>
    <t>Insertable Cup Instrumentation</t>
  </si>
  <si>
    <t>Aperture Instrumentation</t>
  </si>
  <si>
    <t>Picometers with Swiching System</t>
  </si>
  <si>
    <t>I to V's</t>
  </si>
  <si>
    <t>Stripline BPMs</t>
  </si>
  <si>
    <t>Harps</t>
  </si>
  <si>
    <t>Yao cavity</t>
  </si>
  <si>
    <t>IOCs</t>
  </si>
  <si>
    <t>Network (Support Network Cameras?)</t>
  </si>
  <si>
    <t>60 Hz timing system (SCAM?)</t>
  </si>
  <si>
    <t>BLMs (is this SSGs territory?)</t>
  </si>
  <si>
    <t>Instrumentation Racks</t>
  </si>
  <si>
    <t>Total Labor (weeks)</t>
  </si>
  <si>
    <t>Hourly rate w/fringe*</t>
  </si>
  <si>
    <t>Labor w/fringe (w/o overhead) &amp; Materials</t>
  </si>
  <si>
    <t>G&amp;A (46%)*</t>
  </si>
  <si>
    <t xml:space="preserve">JLAB Total </t>
  </si>
  <si>
    <t>Total*</t>
  </si>
  <si>
    <t>EE: Electrical Engineer</t>
  </si>
  <si>
    <t>ET: Electronic Technician</t>
  </si>
  <si>
    <t>AC: Associate engineer/designer/coordinator</t>
  </si>
  <si>
    <t>CS: Computer Scientist</t>
  </si>
  <si>
    <t>EF: Electronic Fabrication</t>
  </si>
  <si>
    <t>EL: Electrician</t>
  </si>
  <si>
    <t>* Subject to change</t>
  </si>
  <si>
    <t>FY15 AWP weekly rate w/ fringe</t>
  </si>
  <si>
    <t>Total Labor</t>
  </si>
  <si>
    <t>Network related procurements</t>
  </si>
  <si>
    <t>unit price</t>
  </si>
  <si>
    <t>number</t>
  </si>
  <si>
    <t>server for soft IOCs</t>
  </si>
  <si>
    <t>fiefdom upgrade</t>
  </si>
  <si>
    <t>network switcher, 48 channel</t>
  </si>
  <si>
    <t>console server</t>
  </si>
  <si>
    <t>UPS</t>
  </si>
  <si>
    <t>cross point switcher?</t>
  </si>
  <si>
    <t>fibers from com spigot</t>
  </si>
  <si>
    <t>IOCs  type 5100</t>
  </si>
  <si>
    <t>monitors in control room</t>
  </si>
  <si>
    <t>free</t>
  </si>
  <si>
    <t>VME crates</t>
  </si>
  <si>
    <t>Still awaiting final est</t>
  </si>
  <si>
    <t>Waiting on finalized estimate</t>
  </si>
  <si>
    <t>Completed estimate</t>
  </si>
  <si>
    <t>by Matt Poelker</t>
  </si>
  <si>
    <t>on 5-13-2015</t>
  </si>
  <si>
    <t>Original Est. by Hari Areti</t>
  </si>
  <si>
    <t>on 2-7-2014</t>
  </si>
  <si>
    <t>FY14 Spent</t>
  </si>
  <si>
    <t>FY15 YTD Spent</t>
  </si>
  <si>
    <t>8.2 weeks at 80% of year</t>
  </si>
  <si>
    <t>procurements</t>
  </si>
  <si>
    <t>LOUGHBY, JASON</t>
  </si>
  <si>
    <t>ELCENG</t>
  </si>
  <si>
    <t>6039-001 (Fringe Labor)</t>
  </si>
  <si>
    <t>RENZO, THOMAS C</t>
  </si>
  <si>
    <t>PLTENG</t>
  </si>
  <si>
    <t>KAUSCH, DAVID J</t>
  </si>
  <si>
    <t>MECENG</t>
  </si>
  <si>
    <t>MINGA, TIMOTHY D</t>
  </si>
  <si>
    <t>MEIRE, LEO T</t>
  </si>
  <si>
    <t>CLARK, DONALD W</t>
  </si>
  <si>
    <t>SKLTRD</t>
  </si>
  <si>
    <t>FMO</t>
  </si>
  <si>
    <t>STANLEY, PHILLIP C</t>
  </si>
  <si>
    <t>UITFIN</t>
  </si>
  <si>
    <t>remove concrete wall</t>
  </si>
  <si>
    <t>stair</t>
  </si>
  <si>
    <t>penetrations</t>
  </si>
  <si>
    <t>Plant Engr (FMF) - 16 PW</t>
  </si>
  <si>
    <t>Electrical Engr (FME) - 7 PW</t>
  </si>
  <si>
    <t>Mech Engr (FMM) - 8 PW</t>
  </si>
  <si>
    <t>Mech Engr (FMFS) - 3 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</si>
</sst>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General_)"/>
    <numFmt numFmtId="167" formatCode="0.000"/>
    <numFmt numFmtId="168" formatCode="[$-F800]dddd\,\ mmmm\ dd\,\ yyyy"/>
    <numFmt numFmtId="169" formatCode="_(&quot;$&quot;* #,##0_);_(&quot;$&quot;* \(#,##0\);_(&quot;$&quot;* &quot;-&quot;??_);_(@_)"/>
    <numFmt numFmtId="170" formatCode="_(\k&quot;$&quot;* #,##0.0_);_(\k&quot;$&quot;* \(#,##0.0\);_(\k&quot;$&quot;* &quot;-&quot;??_);_(@_)"/>
    <numFmt numFmtId="171" formatCode="_(* #,##0.0_);_(* \(#,##0.0\);_(* &quot;-&quot;??_);_(@_)"/>
    <numFmt numFmtId="172" formatCode="[$-409]mmmm\ d\,\ yyyy;@"/>
    <numFmt numFmtId="173" formatCode="_(&quot;$&quot;* #,##0.000_);_(&quot;$&quot;* \(#,##0.000\);_(&quot;$&quot;* &quot;-&quot;??_);_(@_)"/>
    <numFmt numFmtId="174" formatCode="_(* #,##0.000_);_(* \(#,##0.000\);_(* &quot;-&quot;??_);_(@_)"/>
    <numFmt numFmtId="175" formatCode="0.0%"/>
    <numFmt numFmtId="176" formatCode="0.0000"/>
    <numFmt numFmtId="177" formatCode="_(\k&quot;$&quot;* #,##0.000_);_(\k&quot;$&quot;* \(#,##0.000\);_(\k&quot;$&quot;* &quot;-&quot;??_);_(@_)"/>
    <numFmt numFmtId="178" formatCode="_(* #,##0.0000_);_(* \(#,##0.0000\);_(* &quot;-&quot;??_);_(@_)"/>
    <numFmt numFmtId="179" formatCode="&quot;$&quot;#,##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sz val="12"/>
      <name val="Arial"/>
      <family val="2"/>
    </font>
    <font>
      <b/>
      <sz val="16"/>
      <color theme="3" tint="-0.24997000396251678"/>
      <name val="Calibri"/>
      <family val="2"/>
      <scheme val="minor"/>
    </font>
    <font>
      <sz val="8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trike/>
      <sz val="11"/>
      <color theme="1"/>
      <name val="Calibri"/>
      <family val="2"/>
      <scheme val="minor"/>
    </font>
    <font>
      <sz val="7.5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sz val="54"/>
      <color rgb="FFF8F8F8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5" fillId="0" borderId="0">
      <alignment horizontal="center"/>
      <protection/>
    </xf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1" applyNumberFormat="0" applyFill="0" applyAlignment="0" applyProtection="0"/>
    <xf numFmtId="0" fontId="12" fillId="5" borderId="0" applyNumberFormat="0" applyBorder="0" applyAlignment="0" applyProtection="0"/>
    <xf numFmtId="0" fontId="13" fillId="6" borderId="2" applyNumberFormat="0" applyAlignment="0" applyProtection="0"/>
    <xf numFmtId="0" fontId="3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>
      <alignment/>
      <protection/>
    </xf>
    <xf numFmtId="0" fontId="33" fillId="0" borderId="0" applyNumberFormat="0" applyFill="0" applyBorder="0">
      <alignment/>
      <protection locked="0"/>
    </xf>
  </cellStyleXfs>
  <cellXfs count="473">
    <xf numFmtId="0" fontId="0" fillId="0" borderId="0" xfId="0"/>
    <xf numFmtId="0" fontId="0" fillId="0" borderId="0" xfId="0" applyBorder="1"/>
    <xf numFmtId="165" fontId="0" fillId="0" borderId="3" xfId="18" applyNumberFormat="1" applyFont="1" applyBorder="1"/>
    <xf numFmtId="0" fontId="3" fillId="2" borderId="4" xfId="20" applyBorder="1" applyAlignment="1">
      <alignment horizontal="center"/>
    </xf>
    <xf numFmtId="0" fontId="3" fillId="2" borderId="5" xfId="20" applyBorder="1" applyAlignment="1">
      <alignment horizontal="center"/>
    </xf>
    <xf numFmtId="0" fontId="3" fillId="2" borderId="6" xfId="2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2" borderId="9" xfId="20" applyBorder="1"/>
    <xf numFmtId="0" fontId="3" fillId="2" borderId="10" xfId="20" applyBorder="1"/>
    <xf numFmtId="0" fontId="3" fillId="2" borderId="11" xfId="2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/>
    <xf numFmtId="0" fontId="6" fillId="0" borderId="12" xfId="0" applyFont="1" applyFill="1" applyBorder="1"/>
    <xf numFmtId="0" fontId="0" fillId="0" borderId="13" xfId="0" applyBorder="1"/>
    <xf numFmtId="0" fontId="0" fillId="0" borderId="14" xfId="0" applyBorder="1"/>
    <xf numFmtId="165" fontId="0" fillId="0" borderId="13" xfId="0" applyNumberFormat="1" applyBorder="1"/>
    <xf numFmtId="165" fontId="0" fillId="0" borderId="5" xfId="18" applyNumberFormat="1" applyFont="1" applyBorder="1"/>
    <xf numFmtId="1" fontId="3" fillId="2" borderId="4" xfId="20" applyNumberFormat="1" applyBorder="1" applyAlignment="1">
      <alignment horizontal="center"/>
    </xf>
    <xf numFmtId="1" fontId="3" fillId="2" borderId="5" xfId="20" applyNumberFormat="1" applyBorder="1" applyAlignment="1">
      <alignment horizontal="center"/>
    </xf>
    <xf numFmtId="1" fontId="3" fillId="2" borderId="6" xfId="20" applyNumberFormat="1" applyBorder="1" applyAlignment="1">
      <alignment horizontal="center"/>
    </xf>
    <xf numFmtId="1" fontId="3" fillId="2" borderId="11" xfId="20" applyNumberFormat="1" applyBorder="1" applyAlignment="1">
      <alignment horizontal="center"/>
    </xf>
    <xf numFmtId="1" fontId="0" fillId="0" borderId="3" xfId="18" applyNumberFormat="1" applyFont="1" applyBorder="1"/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/>
    <xf numFmtId="1" fontId="0" fillId="0" borderId="5" xfId="18" applyNumberFormat="1" applyFon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0" xfId="0" applyNumberFormat="1"/>
    <xf numFmtId="164" fontId="0" fillId="0" borderId="8" xfId="0" applyNumberFormat="1" applyBorder="1" applyAlignment="1">
      <alignment horizontal="center"/>
    </xf>
    <xf numFmtId="1" fontId="0" fillId="0" borderId="0" xfId="18" applyNumberFormat="1" applyFont="1" applyBorder="1"/>
    <xf numFmtId="0" fontId="2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4" borderId="0" xfId="25" applyFont="1"/>
    <xf numFmtId="0" fontId="0" fillId="4" borderId="0" xfId="25"/>
    <xf numFmtId="0" fontId="8" fillId="3" borderId="0" xfId="24"/>
    <xf numFmtId="0" fontId="3" fillId="2" borderId="15" xfId="20" applyBorder="1" applyAlignment="1">
      <alignment horizontal="center"/>
    </xf>
    <xf numFmtId="2" fontId="0" fillId="0" borderId="0" xfId="18" applyNumberFormat="1" applyFont="1" applyBorder="1"/>
    <xf numFmtId="2" fontId="0" fillId="0" borderId="13" xfId="0" applyNumberFormat="1" applyBorder="1"/>
    <xf numFmtId="2" fontId="0" fillId="0" borderId="3" xfId="18" applyNumberFormat="1" applyFont="1" applyBorder="1"/>
    <xf numFmtId="2" fontId="0" fillId="0" borderId="5" xfId="18" applyNumberFormat="1" applyFont="1" applyBorder="1"/>
    <xf numFmtId="1" fontId="3" fillId="9" borderId="6" xfId="20" applyNumberForma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0" fillId="9" borderId="0" xfId="0" applyFill="1"/>
    <xf numFmtId="164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3" fillId="9" borderId="6" xfId="2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164" fontId="0" fillId="9" borderId="0" xfId="0" applyNumberFormat="1" applyFill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3" xfId="0" applyFill="1" applyBorder="1"/>
    <xf numFmtId="167" fontId="0" fillId="0" borderId="0" xfId="0" applyNumberFormat="1"/>
    <xf numFmtId="0" fontId="0" fillId="0" borderId="0" xfId="0" applyAlignment="1">
      <alignment horizontal="right"/>
    </xf>
    <xf numFmtId="0" fontId="0" fillId="9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10" borderId="0" xfId="0" applyFill="1"/>
    <xf numFmtId="165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65" fontId="0" fillId="0" borderId="0" xfId="0" applyNumberFormat="1"/>
    <xf numFmtId="165" fontId="0" fillId="9" borderId="0" xfId="0" applyNumberFormat="1" applyFill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2" fillId="0" borderId="6" xfId="0" applyFont="1" applyBorder="1"/>
    <xf numFmtId="14" fontId="2" fillId="0" borderId="6" xfId="0" applyNumberFormat="1" applyFont="1" applyBorder="1"/>
    <xf numFmtId="0" fontId="0" fillId="0" borderId="6" xfId="0" applyBorder="1"/>
    <xf numFmtId="168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0" fontId="14" fillId="2" borderId="16" xfId="20" applyFont="1" applyBorder="1" applyAlignment="1">
      <alignment horizontal="left" indent="3"/>
    </xf>
    <xf numFmtId="0" fontId="3" fillId="2" borderId="17" xfId="20" applyBorder="1" applyAlignment="1">
      <alignment horizontal="left" indent="3"/>
    </xf>
    <xf numFmtId="0" fontId="3" fillId="2" borderId="17" xfId="20" applyBorder="1"/>
    <xf numFmtId="0" fontId="3" fillId="2" borderId="18" xfId="20" applyBorder="1"/>
    <xf numFmtId="0" fontId="3" fillId="2" borderId="12" xfId="20" applyBorder="1"/>
    <xf numFmtId="1" fontId="3" fillId="2" borderId="13" xfId="20" applyNumberFormat="1" applyBorder="1"/>
    <xf numFmtId="0" fontId="3" fillId="2" borderId="13" xfId="20" applyBorder="1"/>
    <xf numFmtId="164" fontId="3" fillId="2" borderId="13" xfId="20" applyNumberFormat="1" applyBorder="1"/>
    <xf numFmtId="0" fontId="3" fillId="2" borderId="14" xfId="20" applyBorder="1"/>
    <xf numFmtId="169" fontId="0" fillId="0" borderId="0" xfId="0" applyNumberFormat="1" applyBorder="1"/>
    <xf numFmtId="170" fontId="0" fillId="0" borderId="0" xfId="0" applyNumberFormat="1" applyBorder="1"/>
    <xf numFmtId="169" fontId="2" fillId="0" borderId="0" xfId="0" applyNumberFormat="1" applyFont="1" applyBorder="1" applyAlignment="1">
      <alignment horizontal="center"/>
    </xf>
    <xf numFmtId="0" fontId="0" fillId="0" borderId="19" xfId="0" applyBorder="1"/>
    <xf numFmtId="169" fontId="0" fillId="0" borderId="20" xfId="0" applyNumberFormat="1" applyBorder="1"/>
    <xf numFmtId="0" fontId="0" fillId="0" borderId="20" xfId="0" applyBorder="1"/>
    <xf numFmtId="170" fontId="0" fillId="0" borderId="20" xfId="0" applyNumberFormat="1" applyBorder="1"/>
    <xf numFmtId="0" fontId="0" fillId="0" borderId="21" xfId="0" applyBorder="1"/>
    <xf numFmtId="0" fontId="0" fillId="0" borderId="22" xfId="0" applyBorder="1"/>
    <xf numFmtId="169" fontId="0" fillId="0" borderId="23" xfId="0" applyNumberFormat="1" applyBorder="1"/>
    <xf numFmtId="170" fontId="0" fillId="0" borderId="23" xfId="0" applyNumberFormat="1" applyBorder="1"/>
    <xf numFmtId="169" fontId="0" fillId="0" borderId="24" xfId="0" applyNumberFormat="1" applyBorder="1"/>
    <xf numFmtId="169" fontId="0" fillId="0" borderId="8" xfId="0" applyNumberFormat="1" applyBorder="1"/>
    <xf numFmtId="0" fontId="14" fillId="7" borderId="25" xfId="29" applyFont="1" applyBorder="1" applyAlignment="1">
      <alignment horizontal="left" indent="3"/>
    </xf>
    <xf numFmtId="169" fontId="3" fillId="7" borderId="6" xfId="29" applyNumberFormat="1" applyBorder="1"/>
    <xf numFmtId="170" fontId="3" fillId="7" borderId="6" xfId="29" applyNumberFormat="1" applyBorder="1"/>
    <xf numFmtId="169" fontId="3" fillId="7" borderId="11" xfId="29" applyNumberFormat="1" applyBorder="1"/>
    <xf numFmtId="0" fontId="3" fillId="7" borderId="12" xfId="29" applyBorder="1"/>
    <xf numFmtId="1" fontId="3" fillId="7" borderId="13" xfId="29" applyNumberFormat="1" applyBorder="1"/>
    <xf numFmtId="0" fontId="3" fillId="7" borderId="13" xfId="29" applyBorder="1"/>
    <xf numFmtId="164" fontId="3" fillId="7" borderId="13" xfId="29" applyNumberFormat="1" applyBorder="1"/>
    <xf numFmtId="0" fontId="3" fillId="7" borderId="14" xfId="29" applyBorder="1"/>
    <xf numFmtId="0" fontId="0" fillId="0" borderId="12" xfId="0" applyFill="1" applyBorder="1"/>
    <xf numFmtId="169" fontId="0" fillId="0" borderId="13" xfId="0" applyNumberFormat="1" applyBorder="1"/>
    <xf numFmtId="170" fontId="0" fillId="0" borderId="13" xfId="0" applyNumberFormat="1" applyBorder="1"/>
    <xf numFmtId="169" fontId="0" fillId="0" borderId="14" xfId="0" applyNumberFormat="1" applyBorder="1"/>
    <xf numFmtId="14" fontId="0" fillId="0" borderId="0" xfId="0" applyNumberFormat="1" applyBorder="1"/>
    <xf numFmtId="169" fontId="0" fillId="0" borderId="0" xfId="16" applyNumberFormat="1" applyFont="1"/>
    <xf numFmtId="169" fontId="0" fillId="0" borderId="0" xfId="0" applyNumberFormat="1"/>
    <xf numFmtId="0" fontId="0" fillId="0" borderId="26" xfId="0" applyBorder="1"/>
    <xf numFmtId="165" fontId="2" fillId="0" borderId="3" xfId="0" applyNumberFormat="1" applyFont="1" applyBorder="1"/>
    <xf numFmtId="165" fontId="0" fillId="0" borderId="0" xfId="18" applyNumberFormat="1" applyFont="1"/>
    <xf numFmtId="0" fontId="15" fillId="0" borderId="0" xfId="0" applyFont="1"/>
    <xf numFmtId="165" fontId="0" fillId="0" borderId="3" xfId="0" applyNumberFormat="1" applyBorder="1"/>
    <xf numFmtId="43" fontId="0" fillId="0" borderId="0" xfId="18" applyFont="1"/>
    <xf numFmtId="170" fontId="0" fillId="0" borderId="0" xfId="0" applyNumberFormat="1"/>
    <xf numFmtId="0" fontId="3" fillId="2" borderId="4" xfId="20" applyBorder="1"/>
    <xf numFmtId="0" fontId="3" fillId="2" borderId="27" xfId="20" applyBorder="1"/>
    <xf numFmtId="0" fontId="3" fillId="2" borderId="27" xfId="20" applyBorder="1" applyAlignment="1">
      <alignment horizontal="center"/>
    </xf>
    <xf numFmtId="0" fontId="3" fillId="2" borderId="28" xfId="20" applyBorder="1"/>
    <xf numFmtId="0" fontId="3" fillId="2" borderId="15" xfId="20" applyBorder="1"/>
    <xf numFmtId="0" fontId="3" fillId="2" borderId="5" xfId="20" applyBorder="1"/>
    <xf numFmtId="0" fontId="3" fillId="2" borderId="29" xfId="20" applyBorder="1"/>
    <xf numFmtId="15" fontId="3" fillId="2" borderId="26" xfId="20" applyNumberFormat="1" applyBorder="1"/>
    <xf numFmtId="15" fontId="3" fillId="2" borderId="29" xfId="20" applyNumberFormat="1" applyBorder="1"/>
    <xf numFmtId="0" fontId="3" fillId="2" borderId="0" xfId="20" applyBorder="1"/>
    <xf numFmtId="0" fontId="3" fillId="2" borderId="30" xfId="20" applyBorder="1" applyAlignment="1">
      <alignment horizontal="center"/>
    </xf>
    <xf numFmtId="0" fontId="3" fillId="2" borderId="29" xfId="20" applyBorder="1" applyAlignment="1">
      <alignment horizontal="center"/>
    </xf>
    <xf numFmtId="0" fontId="3" fillId="2" borderId="30" xfId="20" applyBorder="1"/>
    <xf numFmtId="0" fontId="3" fillId="2" borderId="6" xfId="20" applyBorder="1"/>
    <xf numFmtId="15" fontId="11" fillId="0" borderId="0" xfId="26" applyNumberFormat="1" applyBorder="1"/>
    <xf numFmtId="15" fontId="0" fillId="0" borderId="0" xfId="0" applyNumberFormat="1"/>
    <xf numFmtId="0" fontId="0" fillId="0" borderId="28" xfId="0" applyBorder="1"/>
    <xf numFmtId="0" fontId="0" fillId="0" borderId="26" xfId="0" applyBorder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31" xfId="16" applyNumberFormat="1" applyFont="1" applyBorder="1"/>
    <xf numFmtId="0" fontId="0" fillId="0" borderId="27" xfId="0" applyBorder="1"/>
    <xf numFmtId="0" fontId="0" fillId="0" borderId="31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/>
    </xf>
    <xf numFmtId="0" fontId="6" fillId="0" borderId="0" xfId="0" applyFont="1" applyBorder="1"/>
    <xf numFmtId="171" fontId="16" fillId="0" borderId="0" xfId="22" applyNumberFormat="1" applyFont="1" applyFill="1" applyBorder="1" applyProtection="1">
      <protection/>
    </xf>
    <xf numFmtId="0" fontId="17" fillId="0" borderId="0" xfId="0" applyFont="1"/>
    <xf numFmtId="0" fontId="3" fillId="7" borderId="4" xfId="29" applyBorder="1"/>
    <xf numFmtId="0" fontId="3" fillId="7" borderId="27" xfId="29" applyBorder="1"/>
    <xf numFmtId="0" fontId="3" fillId="7" borderId="15" xfId="29" applyBorder="1" applyAlignment="1">
      <alignment horizontal="center"/>
    </xf>
    <xf numFmtId="0" fontId="3" fillId="7" borderId="27" xfId="29" applyBorder="1" applyAlignment="1">
      <alignment horizontal="center"/>
    </xf>
    <xf numFmtId="0" fontId="3" fillId="7" borderId="4" xfId="29" applyBorder="1" applyAlignment="1">
      <alignment horizontal="center"/>
    </xf>
    <xf numFmtId="0" fontId="3" fillId="7" borderId="28" xfId="29" applyBorder="1"/>
    <xf numFmtId="0" fontId="3" fillId="7" borderId="15" xfId="29" applyBorder="1"/>
    <xf numFmtId="0" fontId="3" fillId="7" borderId="5" xfId="29" applyBorder="1"/>
    <xf numFmtId="0" fontId="3" fillId="7" borderId="29" xfId="29" applyBorder="1"/>
    <xf numFmtId="15" fontId="3" fillId="7" borderId="30" xfId="29" applyNumberFormat="1" applyBorder="1"/>
    <xf numFmtId="15" fontId="3" fillId="7" borderId="29" xfId="29" applyNumberFormat="1" applyBorder="1"/>
    <xf numFmtId="0" fontId="3" fillId="7" borderId="0" xfId="29" applyBorder="1"/>
    <xf numFmtId="0" fontId="3" fillId="7" borderId="30" xfId="29" applyBorder="1" applyAlignment="1">
      <alignment horizontal="center"/>
    </xf>
    <xf numFmtId="0" fontId="3" fillId="7" borderId="5" xfId="29" applyBorder="1" applyAlignment="1">
      <alignment horizontal="center"/>
    </xf>
    <xf numFmtId="0" fontId="3" fillId="7" borderId="6" xfId="29" applyBorder="1" applyAlignment="1">
      <alignment horizontal="center"/>
    </xf>
    <xf numFmtId="0" fontId="3" fillId="7" borderId="29" xfId="29" applyBorder="1" applyAlignment="1">
      <alignment horizontal="center"/>
    </xf>
    <xf numFmtId="0" fontId="3" fillId="7" borderId="30" xfId="29" applyBorder="1"/>
    <xf numFmtId="0" fontId="3" fillId="7" borderId="6" xfId="29" applyBorder="1"/>
    <xf numFmtId="0" fontId="0" fillId="0" borderId="0" xfId="0" applyAlignment="1">
      <alignment wrapText="1"/>
    </xf>
    <xf numFmtId="0" fontId="4" fillId="0" borderId="32" xfId="0" applyFont="1" applyBorder="1" applyAlignment="1">
      <alignment wrapText="1"/>
    </xf>
    <xf numFmtId="0" fontId="13" fillId="6" borderId="2" xfId="28"/>
    <xf numFmtId="0" fontId="1" fillId="0" borderId="33" xfId="0" applyFont="1" applyBorder="1" applyAlignment="1">
      <alignment horizontal="left" wrapText="1"/>
    </xf>
    <xf numFmtId="172" fontId="1" fillId="0" borderId="33" xfId="0" applyNumberFormat="1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2" xfId="0" applyFont="1" applyBorder="1" applyAlignment="1">
      <alignment horizontal="left" wrapText="1"/>
    </xf>
    <xf numFmtId="172" fontId="1" fillId="0" borderId="32" xfId="0" applyNumberFormat="1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13" fillId="6" borderId="2" xfId="28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4" fontId="0" fillId="0" borderId="0" xfId="16" applyFont="1"/>
    <xf numFmtId="173" fontId="0" fillId="0" borderId="0" xfId="16" applyNumberFormat="1" applyFont="1"/>
    <xf numFmtId="0" fontId="0" fillId="9" borderId="0" xfId="0" applyFill="1" applyBorder="1" applyAlignment="1">
      <alignment horizontal="right"/>
    </xf>
    <xf numFmtId="174" fontId="0" fillId="9" borderId="0" xfId="0" applyNumberFormat="1" applyFill="1"/>
    <xf numFmtId="0" fontId="2" fillId="11" borderId="0" xfId="0" applyFont="1" applyFill="1"/>
    <xf numFmtId="0" fontId="0" fillId="11" borderId="0" xfId="0" applyFill="1"/>
    <xf numFmtId="0" fontId="2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0" fillId="9" borderId="0" xfId="0" applyFont="1" applyFill="1"/>
    <xf numFmtId="0" fontId="19" fillId="9" borderId="4" xfId="0" applyFont="1" applyFill="1" applyBorder="1" applyAlignment="1">
      <alignment horizontal="center"/>
    </xf>
    <xf numFmtId="0" fontId="19" fillId="9" borderId="4" xfId="0" applyFont="1" applyFill="1" applyBorder="1"/>
    <xf numFmtId="0" fontId="19" fillId="0" borderId="0" xfId="0" applyFont="1" applyFill="1" applyBorder="1"/>
    <xf numFmtId="0" fontId="19" fillId="0" borderId="35" xfId="0" applyFont="1" applyBorder="1"/>
    <xf numFmtId="0" fontId="20" fillId="0" borderId="35" xfId="0" applyFont="1" applyBorder="1"/>
    <xf numFmtId="0" fontId="19" fillId="12" borderId="35" xfId="0" applyFont="1" applyFill="1" applyBorder="1" applyAlignment="1">
      <alignment horizontal="center"/>
    </xf>
    <xf numFmtId="169" fontId="19" fillId="12" borderId="35" xfId="0" applyNumberFormat="1" applyFont="1" applyFill="1" applyBorder="1" applyAlignment="1">
      <alignment horizontal="center"/>
    </xf>
    <xf numFmtId="0" fontId="20" fillId="12" borderId="0" xfId="0" applyFont="1" applyFill="1"/>
    <xf numFmtId="14" fontId="2" fillId="0" borderId="0" xfId="0" applyNumberFormat="1" applyFont="1" applyFill="1" applyBorder="1"/>
    <xf numFmtId="0" fontId="19" fillId="13" borderId="35" xfId="0" applyFont="1" applyFill="1" applyBorder="1" applyAlignment="1">
      <alignment horizontal="center"/>
    </xf>
    <xf numFmtId="169" fontId="19" fillId="13" borderId="35" xfId="0" applyNumberFormat="1" applyFont="1" applyFill="1" applyBorder="1"/>
    <xf numFmtId="0" fontId="20" fillId="13" borderId="0" xfId="0" applyFont="1" applyFill="1"/>
    <xf numFmtId="0" fontId="19" fillId="0" borderId="0" xfId="0" applyFont="1" applyBorder="1"/>
    <xf numFmtId="0" fontId="20" fillId="0" borderId="0" xfId="0" applyFont="1" applyBorder="1"/>
    <xf numFmtId="0" fontId="20" fillId="0" borderId="0" xfId="0" applyFont="1" applyFill="1"/>
    <xf numFmtId="0" fontId="19" fillId="0" borderId="35" xfId="0" applyFont="1" applyFill="1" applyBorder="1"/>
    <xf numFmtId="164" fontId="19" fillId="0" borderId="35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69" fontId="19" fillId="0" borderId="35" xfId="0" applyNumberFormat="1" applyFont="1" applyBorder="1" applyAlignment="1">
      <alignment horizontal="center"/>
    </xf>
    <xf numFmtId="0" fontId="19" fillId="0" borderId="0" xfId="0" applyFont="1" applyFill="1"/>
    <xf numFmtId="44" fontId="0" fillId="0" borderId="0" xfId="0" applyNumberFormat="1" applyAlignment="1">
      <alignment horizontal="center"/>
    </xf>
    <xf numFmtId="44" fontId="0" fillId="0" borderId="0" xfId="0" applyNumberFormat="1"/>
    <xf numFmtId="14" fontId="0" fillId="0" borderId="0" xfId="0" applyNumberFormat="1"/>
    <xf numFmtId="0" fontId="21" fillId="14" borderId="0" xfId="0" applyFont="1" applyFill="1"/>
    <xf numFmtId="0" fontId="21" fillId="14" borderId="0" xfId="0" applyFont="1" applyFill="1" applyAlignment="1">
      <alignment horizontal="center"/>
    </xf>
    <xf numFmtId="173" fontId="0" fillId="0" borderId="0" xfId="0" applyNumberFormat="1"/>
    <xf numFmtId="44" fontId="0" fillId="0" borderId="0" xfId="0" applyNumberFormat="1" applyFill="1"/>
    <xf numFmtId="0" fontId="21" fillId="0" borderId="0" xfId="0" applyFont="1" applyFill="1"/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Fill="1"/>
    <xf numFmtId="169" fontId="21" fillId="0" borderId="0" xfId="0" applyNumberFormat="1" applyFont="1" applyFill="1"/>
    <xf numFmtId="0" fontId="0" fillId="0" borderId="0" xfId="0" applyFill="1" applyAlignment="1">
      <alignment horizontal="center"/>
    </xf>
    <xf numFmtId="44" fontId="21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21" fillId="15" borderId="0" xfId="0" applyFont="1" applyFill="1"/>
    <xf numFmtId="0" fontId="0" fillId="15" borderId="0" xfId="0" applyFill="1"/>
    <xf numFmtId="6" fontId="0" fillId="0" borderId="0" xfId="0" applyNumberFormat="1"/>
    <xf numFmtId="174" fontId="0" fillId="9" borderId="6" xfId="0" applyNumberFormat="1" applyFill="1" applyBorder="1"/>
    <xf numFmtId="0" fontId="2" fillId="0" borderId="35" xfId="0" applyFont="1" applyBorder="1"/>
    <xf numFmtId="0" fontId="0" fillId="0" borderId="35" xfId="0" applyBorder="1"/>
    <xf numFmtId="167" fontId="0" fillId="0" borderId="35" xfId="0" applyNumberFormat="1" applyBorder="1"/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174" fontId="0" fillId="0" borderId="35" xfId="18" applyNumberFormat="1" applyFont="1" applyBorder="1"/>
    <xf numFmtId="174" fontId="0" fillId="0" borderId="0" xfId="18" applyNumberFormat="1" applyFont="1"/>
    <xf numFmtId="167" fontId="0" fillId="0" borderId="35" xfId="0" applyNumberFormat="1" applyFill="1" applyBorder="1"/>
    <xf numFmtId="0" fontId="8" fillId="3" borderId="35" xfId="24" applyBorder="1"/>
    <xf numFmtId="167" fontId="8" fillId="3" borderId="35" xfId="24" applyNumberFormat="1" applyBorder="1"/>
    <xf numFmtId="173" fontId="2" fillId="0" borderId="0" xfId="0" applyNumberFormat="1" applyFont="1"/>
    <xf numFmtId="0" fontId="12" fillId="5" borderId="35" xfId="27" applyBorder="1"/>
    <xf numFmtId="167" fontId="12" fillId="5" borderId="35" xfId="27" applyNumberFormat="1" applyBorder="1"/>
    <xf numFmtId="174" fontId="2" fillId="0" borderId="0" xfId="18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9" fillId="0" borderId="35" xfId="0" applyNumberFormat="1" applyFont="1" applyBorder="1"/>
    <xf numFmtId="0" fontId="19" fillId="9" borderId="0" xfId="0" applyFont="1" applyFill="1"/>
    <xf numFmtId="165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3" fillId="2" borderId="18" xfId="20" applyBorder="1" applyAlignment="1">
      <alignment horizontal="center"/>
    </xf>
    <xf numFmtId="2" fontId="3" fillId="2" borderId="14" xfId="2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3" fontId="0" fillId="0" borderId="6" xfId="16" applyNumberFormat="1" applyFont="1" applyBorder="1"/>
    <xf numFmtId="164" fontId="2" fillId="0" borderId="35" xfId="0" applyNumberFormat="1" applyFont="1" applyBorder="1"/>
    <xf numFmtId="164" fontId="8" fillId="3" borderId="35" xfId="24" applyNumberFormat="1" applyBorder="1"/>
    <xf numFmtId="164" fontId="12" fillId="5" borderId="35" xfId="27" applyNumberFormat="1" applyBorder="1"/>
    <xf numFmtId="164" fontId="2" fillId="0" borderId="3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74" fontId="0" fillId="0" borderId="5" xfId="18" applyNumberFormat="1" applyFont="1" applyBorder="1"/>
    <xf numFmtId="0" fontId="2" fillId="0" borderId="36" xfId="0" applyFont="1" applyBorder="1" applyAlignment="1">
      <alignment horizontal="center"/>
    </xf>
    <xf numFmtId="174" fontId="0" fillId="0" borderId="36" xfId="18" applyNumberFormat="1" applyFont="1" applyBorder="1"/>
    <xf numFmtId="167" fontId="0" fillId="0" borderId="20" xfId="0" applyNumberFormat="1" applyBorder="1"/>
    <xf numFmtId="167" fontId="2" fillId="0" borderId="35" xfId="0" applyNumberFormat="1" applyFont="1" applyBorder="1"/>
    <xf numFmtId="0" fontId="12" fillId="5" borderId="0" xfId="27"/>
    <xf numFmtId="0" fontId="22" fillId="0" borderId="0" xfId="0" applyFont="1"/>
    <xf numFmtId="0" fontId="6" fillId="0" borderId="7" xfId="0" applyFont="1" applyBorder="1"/>
    <xf numFmtId="0" fontId="6" fillId="0" borderId="7" xfId="0" applyFont="1" applyFill="1" applyBorder="1"/>
    <xf numFmtId="0" fontId="6" fillId="0" borderId="7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73" fontId="0" fillId="0" borderId="6" xfId="16" applyNumberFormat="1" applyFont="1" applyBorder="1"/>
    <xf numFmtId="164" fontId="0" fillId="0" borderId="0" xfId="0" applyNumberFormat="1" applyFont="1" applyAlignment="1">
      <alignment horizontal="center" wrapText="1"/>
    </xf>
    <xf numFmtId="164" fontId="0" fillId="0" borderId="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0" fillId="0" borderId="0" xfId="0" applyNumberFormat="1" applyFill="1"/>
    <xf numFmtId="15" fontId="0" fillId="0" borderId="0" xfId="0" applyNumberFormat="1" applyFill="1"/>
    <xf numFmtId="0" fontId="0" fillId="0" borderId="0" xfId="0" applyFill="1" applyAlignment="1">
      <alignment horizontal="left"/>
    </xf>
    <xf numFmtId="167" fontId="0" fillId="0" borderId="20" xfId="0" applyNumberFormat="1" applyFill="1" applyBorder="1"/>
    <xf numFmtId="171" fontId="0" fillId="0" borderId="0" xfId="0" applyNumberFormat="1" applyBorder="1"/>
    <xf numFmtId="0" fontId="23" fillId="0" borderId="0" xfId="0" applyFont="1" applyFill="1" applyBorder="1" applyAlignment="1">
      <alignment horizontal="right"/>
    </xf>
    <xf numFmtId="164" fontId="0" fillId="0" borderId="6" xfId="0" applyNumberFormat="1" applyBorder="1"/>
    <xf numFmtId="0" fontId="2" fillId="0" borderId="0" xfId="0" applyFont="1" applyAlignment="1">
      <alignment wrapText="1"/>
    </xf>
    <xf numFmtId="175" fontId="0" fillId="0" borderId="0" xfId="0" applyNumberFormat="1"/>
    <xf numFmtId="43" fontId="24" fillId="0" borderId="0" xfId="0" applyNumberFormat="1" applyFont="1"/>
    <xf numFmtId="171" fontId="24" fillId="0" borderId="0" xfId="0" applyNumberFormat="1" applyFont="1" applyAlignment="1">
      <alignment horizontal="center"/>
    </xf>
    <xf numFmtId="0" fontId="3" fillId="2" borderId="15" xfId="20" applyBorder="1" applyAlignment="1">
      <alignment horizontal="center"/>
    </xf>
    <xf numFmtId="0" fontId="3" fillId="2" borderId="28" xfId="20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3" xfId="18" applyNumberFormat="1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8" fillId="10" borderId="35" xfId="24" applyFill="1" applyBorder="1"/>
    <xf numFmtId="167" fontId="8" fillId="11" borderId="35" xfId="24" applyNumberFormat="1" applyFill="1" applyBorder="1"/>
    <xf numFmtId="0" fontId="0" fillId="0" borderId="6" xfId="0" applyNumberFormat="1" applyBorder="1" applyAlignment="1">
      <alignment/>
    </xf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0" fontId="3" fillId="2" borderId="0" xfId="20" applyBorder="1" applyAlignment="1">
      <alignment horizontal="center"/>
    </xf>
    <xf numFmtId="176" fontId="0" fillId="0" borderId="0" xfId="0" applyNumberFormat="1"/>
    <xf numFmtId="2" fontId="0" fillId="0" borderId="6" xfId="0" applyNumberFormat="1" applyBorder="1"/>
    <xf numFmtId="173" fontId="0" fillId="0" borderId="0" xfId="16" applyNumberFormat="1" applyFont="1" applyBorder="1"/>
    <xf numFmtId="173" fontId="2" fillId="0" borderId="0" xfId="16" applyNumberFormat="1" applyFont="1"/>
    <xf numFmtId="173" fontId="0" fillId="0" borderId="0" xfId="16" applyNumberFormat="1" applyFont="1" applyBorder="1"/>
    <xf numFmtId="173" fontId="0" fillId="0" borderId="0" xfId="16" applyNumberFormat="1" applyFont="1" applyAlignment="1">
      <alignment horizontal="center"/>
    </xf>
    <xf numFmtId="173" fontId="2" fillId="10" borderId="0" xfId="16" applyNumberFormat="1" applyFont="1" applyFill="1"/>
    <xf numFmtId="173" fontId="0" fillId="0" borderId="0" xfId="16" applyNumberFormat="1" applyFont="1" applyBorder="1" applyAlignment="1">
      <alignment/>
    </xf>
    <xf numFmtId="173" fontId="0" fillId="0" borderId="0" xfId="16" applyNumberFormat="1" applyFont="1" applyFill="1" applyBorder="1" applyAlignment="1">
      <alignment/>
    </xf>
    <xf numFmtId="173" fontId="0" fillId="0" borderId="6" xfId="16" applyNumberFormat="1" applyFont="1" applyFill="1" applyBorder="1" applyAlignment="1">
      <alignment/>
    </xf>
    <xf numFmtId="173" fontId="2" fillId="10" borderId="0" xfId="16" applyNumberFormat="1" applyFont="1" applyFill="1" applyBorder="1" applyAlignment="1">
      <alignment horizontal="center"/>
    </xf>
    <xf numFmtId="173" fontId="2" fillId="10" borderId="0" xfId="16" applyNumberFormat="1" applyFont="1" applyFill="1" applyAlignment="1">
      <alignment horizontal="center"/>
    </xf>
    <xf numFmtId="173" fontId="0" fillId="10" borderId="0" xfId="16" applyNumberFormat="1" applyFont="1" applyFill="1"/>
    <xf numFmtId="171" fontId="0" fillId="0" borderId="0" xfId="0" applyNumberFormat="1" applyFill="1"/>
    <xf numFmtId="0" fontId="2" fillId="0" borderId="0" xfId="0" applyFont="1" applyFill="1" applyAlignment="1">
      <alignment horizontal="right"/>
    </xf>
    <xf numFmtId="43" fontId="0" fillId="0" borderId="0" xfId="0" applyNumberFormat="1" applyFill="1"/>
    <xf numFmtId="177" fontId="0" fillId="0" borderId="0" xfId="0" applyNumberFormat="1" applyBorder="1"/>
    <xf numFmtId="177" fontId="0" fillId="0" borderId="20" xfId="0" applyNumberFormat="1" applyBorder="1"/>
    <xf numFmtId="177" fontId="0" fillId="0" borderId="23" xfId="0" applyNumberFormat="1" applyBorder="1"/>
    <xf numFmtId="173" fontId="2" fillId="10" borderId="0" xfId="16" applyNumberFormat="1" applyFont="1" applyFill="1" applyAlignment="1">
      <alignment horizontal="right"/>
    </xf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3" xfId="0" applyFill="1" applyBorder="1"/>
    <xf numFmtId="0" fontId="0" fillId="0" borderId="14" xfId="0" applyFill="1" applyBorder="1"/>
    <xf numFmtId="173" fontId="0" fillId="0" borderId="0" xfId="16" applyNumberFormat="1" applyFont="1" applyBorder="1" applyAlignment="1">
      <alignment horizontal="center"/>
    </xf>
    <xf numFmtId="173" fontId="0" fillId="0" borderId="0" xfId="16" applyNumberFormat="1" applyFont="1" applyFill="1" applyBorder="1"/>
    <xf numFmtId="173" fontId="0" fillId="0" borderId="0" xfId="16" applyNumberFormat="1" applyFont="1" applyFill="1" applyBorder="1" applyAlignment="1">
      <alignment horizontal="center"/>
    </xf>
    <xf numFmtId="173" fontId="0" fillId="0" borderId="0" xfId="16" applyNumberFormat="1" applyFont="1" applyFill="1"/>
    <xf numFmtId="169" fontId="19" fillId="10" borderId="35" xfId="0" applyNumberFormat="1" applyFont="1" applyFill="1" applyBorder="1" applyAlignment="1">
      <alignment horizontal="center"/>
    </xf>
    <xf numFmtId="173" fontId="2" fillId="10" borderId="0" xfId="0" applyNumberFormat="1" applyFont="1" applyFill="1" applyAlignment="1">
      <alignment horizontal="center"/>
    </xf>
    <xf numFmtId="173" fontId="2" fillId="0" borderId="0" xfId="0" applyNumberFormat="1" applyFont="1" applyFill="1"/>
    <xf numFmtId="173" fontId="0" fillId="0" borderId="6" xfId="0" applyNumberFormat="1" applyBorder="1"/>
    <xf numFmtId="173" fontId="0" fillId="0" borderId="0" xfId="0" applyNumberFormat="1" applyBorder="1"/>
    <xf numFmtId="44" fontId="2" fillId="0" borderId="0" xfId="16" applyNumberFormat="1" applyFont="1" applyFill="1"/>
    <xf numFmtId="173" fontId="2" fillId="10" borderId="0" xfId="0" applyNumberFormat="1" applyFont="1" applyFill="1"/>
    <xf numFmtId="173" fontId="0" fillId="0" borderId="0" xfId="16" applyNumberFormat="1" applyFont="1" applyFill="1" applyAlignment="1">
      <alignment horizontal="center"/>
    </xf>
    <xf numFmtId="173" fontId="2" fillId="10" borderId="6" xfId="16" applyNumberFormat="1" applyFont="1" applyFill="1" applyBorder="1"/>
    <xf numFmtId="174" fontId="2" fillId="0" borderId="3" xfId="0" applyNumberFormat="1" applyFont="1" applyBorder="1"/>
    <xf numFmtId="177" fontId="0" fillId="0" borderId="0" xfId="0" applyNumberFormat="1"/>
    <xf numFmtId="173" fontId="2" fillId="0" borderId="0" xfId="16" applyNumberFormat="1" applyFont="1" applyFill="1" applyAlignment="1">
      <alignment horizontal="right"/>
    </xf>
    <xf numFmtId="178" fontId="0" fillId="0" borderId="0" xfId="0" applyNumberFormat="1" applyFont="1" applyAlignment="1">
      <alignment horizontal="right"/>
    </xf>
    <xf numFmtId="173" fontId="2" fillId="0" borderId="0" xfId="16" applyNumberFormat="1" applyFont="1" applyFill="1"/>
    <xf numFmtId="176" fontId="2" fillId="0" borderId="0" xfId="0" applyNumberFormat="1" applyFont="1" applyAlignment="1">
      <alignment horizontal="right"/>
    </xf>
    <xf numFmtId="0" fontId="25" fillId="0" borderId="0" xfId="0" applyFont="1" applyFill="1" applyAlignment="1">
      <alignment horizontal="right"/>
    </xf>
    <xf numFmtId="173" fontId="2" fillId="0" borderId="0" xfId="16" applyNumberFormat="1" applyFont="1" applyFill="1" applyBorder="1" applyAlignment="1">
      <alignment horizontal="center"/>
    </xf>
    <xf numFmtId="173" fontId="2" fillId="0" borderId="0" xfId="16" applyNumberFormat="1" applyFont="1" applyFill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8" fillId="0" borderId="0" xfId="31" applyFont="1" applyAlignment="1">
      <alignment horizontal="center"/>
      <protection/>
    </xf>
    <xf numFmtId="0" fontId="29" fillId="0" borderId="0" xfId="31" applyFont="1">
      <alignment/>
      <protection/>
    </xf>
    <xf numFmtId="0" fontId="27" fillId="0" borderId="0" xfId="31">
      <alignment/>
      <protection/>
    </xf>
    <xf numFmtId="0" fontId="21" fillId="0" borderId="0" xfId="31" applyFont="1" applyAlignment="1">
      <alignment horizontal="center"/>
      <protection/>
    </xf>
    <xf numFmtId="0" fontId="21" fillId="0" borderId="0" xfId="31" applyFont="1">
      <alignment/>
      <protection/>
    </xf>
    <xf numFmtId="0" fontId="21" fillId="9" borderId="0" xfId="31" applyFont="1" applyFill="1">
      <alignment/>
      <protection/>
    </xf>
    <xf numFmtId="0" fontId="21" fillId="9" borderId="0" xfId="31" applyFont="1" applyFill="1" applyAlignment="1">
      <alignment horizontal="center"/>
      <protection/>
    </xf>
    <xf numFmtId="0" fontId="28" fillId="16" borderId="35" xfId="31" applyFont="1" applyFill="1" applyBorder="1" applyAlignment="1">
      <alignment horizontal="center"/>
      <protection/>
    </xf>
    <xf numFmtId="0" fontId="30" fillId="0" borderId="35" xfId="31" applyFont="1" applyBorder="1">
      <alignment/>
      <protection/>
    </xf>
    <xf numFmtId="0" fontId="30" fillId="0" borderId="35" xfId="31" applyFont="1" applyBorder="1" applyAlignment="1">
      <alignment horizontal="center"/>
      <protection/>
    </xf>
    <xf numFmtId="0" fontId="30" fillId="16" borderId="40" xfId="31" applyFont="1" applyFill="1" applyBorder="1" applyAlignment="1">
      <alignment horizontal="center"/>
      <protection/>
    </xf>
    <xf numFmtId="0" fontId="30" fillId="16" borderId="35" xfId="31" applyFont="1" applyFill="1" applyBorder="1" applyAlignment="1">
      <alignment horizontal="center"/>
      <protection/>
    </xf>
    <xf numFmtId="0" fontId="30" fillId="16" borderId="40" xfId="31" applyFont="1" applyFill="1" applyBorder="1" applyAlignment="1">
      <alignment horizontal="center" shrinkToFit="1"/>
      <protection/>
    </xf>
    <xf numFmtId="179" fontId="30" fillId="16" borderId="35" xfId="31" applyNumberFormat="1" applyFont="1" applyFill="1" applyBorder="1" applyAlignment="1">
      <alignment/>
      <protection/>
    </xf>
    <xf numFmtId="44" fontId="30" fillId="16" borderId="35" xfId="31" applyNumberFormat="1" applyFont="1" applyFill="1" applyBorder="1" applyAlignment="1">
      <alignment/>
      <protection/>
    </xf>
    <xf numFmtId="0" fontId="30" fillId="16" borderId="35" xfId="31" applyFont="1" applyFill="1" applyBorder="1" applyAlignment="1">
      <alignment/>
      <protection/>
    </xf>
    <xf numFmtId="14" fontId="30" fillId="16" borderId="35" xfId="31" applyNumberFormat="1" applyFont="1" applyFill="1" applyBorder="1" applyAlignment="1">
      <alignment/>
      <protection/>
    </xf>
    <xf numFmtId="0" fontId="27" fillId="16" borderId="35" xfId="31" applyFont="1" applyFill="1" applyBorder="1" applyAlignment="1">
      <alignment horizontal="center"/>
      <protection/>
    </xf>
    <xf numFmtId="0" fontId="27" fillId="16" borderId="35" xfId="31" applyFont="1" applyFill="1" applyBorder="1">
      <alignment/>
      <protection/>
    </xf>
    <xf numFmtId="0" fontId="27" fillId="16" borderId="0" xfId="31" applyFill="1">
      <alignment/>
      <protection/>
    </xf>
    <xf numFmtId="0" fontId="30" fillId="16" borderId="35" xfId="31" applyFont="1" applyFill="1" applyBorder="1" applyAlignment="1">
      <alignment horizontal="center" shrinkToFit="1"/>
      <protection/>
    </xf>
    <xf numFmtId="0" fontId="16" fillId="16" borderId="35" xfId="30" applyFont="1" applyFill="1" applyBorder="1"/>
    <xf numFmtId="0" fontId="16" fillId="16" borderId="35" xfId="30" applyFont="1" applyFill="1" applyBorder="1" applyAlignment="1">
      <alignment horizontal="center"/>
    </xf>
    <xf numFmtId="0" fontId="31" fillId="16" borderId="35" xfId="31" applyFont="1" applyFill="1" applyBorder="1">
      <alignment/>
      <protection/>
    </xf>
    <xf numFmtId="0" fontId="30" fillId="16" borderId="35" xfId="31" applyFont="1" applyFill="1" applyBorder="1">
      <alignment/>
      <protection/>
    </xf>
    <xf numFmtId="0" fontId="32" fillId="16" borderId="35" xfId="31" applyFont="1" applyFill="1" applyBorder="1">
      <alignment/>
      <protection/>
    </xf>
    <xf numFmtId="0" fontId="32" fillId="16" borderId="35" xfId="31" applyFont="1" applyFill="1" applyBorder="1" applyAlignment="1">
      <alignment horizontal="left"/>
      <protection/>
    </xf>
    <xf numFmtId="0" fontId="34" fillId="16" borderId="35" xfId="32" applyFont="1" applyFill="1" applyBorder="1" applyAlignment="1" applyProtection="1">
      <alignment/>
      <protection/>
    </xf>
    <xf numFmtId="0" fontId="35" fillId="16" borderId="35" xfId="32" applyFont="1" applyFill="1" applyBorder="1" applyAlignment="1" applyProtection="1">
      <alignment horizontal="center"/>
      <protection/>
    </xf>
    <xf numFmtId="0" fontId="16" fillId="16" borderId="35" xfId="31" applyFont="1" applyFill="1" applyBorder="1" applyAlignment="1">
      <alignment horizontal="center"/>
      <protection/>
    </xf>
    <xf numFmtId="0" fontId="16" fillId="16" borderId="35" xfId="31" applyFont="1" applyFill="1" applyBorder="1" applyAlignment="1">
      <alignment horizontal="center" shrinkToFit="1"/>
      <protection/>
    </xf>
    <xf numFmtId="179" fontId="16" fillId="16" borderId="35" xfId="31" applyNumberFormat="1" applyFont="1" applyFill="1" applyBorder="1" applyAlignment="1">
      <alignment/>
      <protection/>
    </xf>
    <xf numFmtId="44" fontId="16" fillId="16" borderId="35" xfId="31" applyNumberFormat="1" applyFont="1" applyFill="1" applyBorder="1" applyAlignment="1">
      <alignment/>
      <protection/>
    </xf>
    <xf numFmtId="0" fontId="16" fillId="16" borderId="35" xfId="31" applyFont="1" applyFill="1" applyBorder="1" applyAlignment="1">
      <alignment/>
      <protection/>
    </xf>
    <xf numFmtId="14" fontId="16" fillId="16" borderId="35" xfId="31" applyNumberFormat="1" applyFont="1" applyFill="1" applyBorder="1" applyAlignment="1">
      <alignment/>
      <protection/>
    </xf>
    <xf numFmtId="0" fontId="1" fillId="16" borderId="35" xfId="31" applyFont="1" applyFill="1" applyBorder="1" applyAlignment="1">
      <alignment horizontal="center"/>
      <protection/>
    </xf>
    <xf numFmtId="0" fontId="1" fillId="16" borderId="35" xfId="31" applyFont="1" applyFill="1" applyBorder="1">
      <alignment/>
      <protection/>
    </xf>
    <xf numFmtId="0" fontId="1" fillId="16" borderId="0" xfId="31" applyFont="1" applyFill="1">
      <alignment/>
      <protection/>
    </xf>
    <xf numFmtId="0" fontId="30" fillId="16" borderId="35" xfId="31" applyFont="1" applyFill="1" applyBorder="1" applyAlignment="1" quotePrefix="1">
      <alignment horizontal="center"/>
      <protection/>
    </xf>
    <xf numFmtId="0" fontId="32" fillId="17" borderId="35" xfId="31" applyFont="1" applyFill="1" applyBorder="1">
      <alignment/>
      <protection/>
    </xf>
    <xf numFmtId="0" fontId="27" fillId="17" borderId="35" xfId="31" applyFont="1" applyFill="1" applyBorder="1">
      <alignment/>
      <protection/>
    </xf>
    <xf numFmtId="0" fontId="27" fillId="17" borderId="35" xfId="31" applyFont="1" applyFill="1" applyBorder="1" applyAlignment="1">
      <alignment horizontal="center"/>
      <protection/>
    </xf>
    <xf numFmtId="0" fontId="27" fillId="17" borderId="35" xfId="31" applyFont="1" applyFill="1" applyBorder="1" applyAlignment="1">
      <alignment horizontal="center" shrinkToFit="1"/>
      <protection/>
    </xf>
    <xf numFmtId="179" fontId="27" fillId="17" borderId="35" xfId="31" applyNumberFormat="1" applyFont="1" applyFill="1" applyBorder="1" applyAlignment="1">
      <alignment horizontal="center"/>
      <protection/>
    </xf>
    <xf numFmtId="44" fontId="27" fillId="17" borderId="35" xfId="31" applyNumberFormat="1" applyFont="1" applyFill="1" applyBorder="1">
      <alignment/>
      <protection/>
    </xf>
    <xf numFmtId="14" fontId="27" fillId="17" borderId="35" xfId="31" applyNumberFormat="1" applyFont="1" applyFill="1" applyBorder="1">
      <alignment/>
      <protection/>
    </xf>
    <xf numFmtId="0" fontId="21" fillId="14" borderId="35" xfId="31" applyFont="1" applyFill="1" applyBorder="1">
      <alignment/>
      <protection/>
    </xf>
    <xf numFmtId="0" fontId="21" fillId="14" borderId="35" xfId="31" applyFont="1" applyFill="1" applyBorder="1" applyAlignment="1">
      <alignment horizontal="center"/>
      <protection/>
    </xf>
    <xf numFmtId="44" fontId="27" fillId="0" borderId="35" xfId="31" applyNumberFormat="1" applyBorder="1">
      <alignment/>
      <protection/>
    </xf>
    <xf numFmtId="0" fontId="27" fillId="0" borderId="35" xfId="31" applyBorder="1">
      <alignment/>
      <protection/>
    </xf>
    <xf numFmtId="14" fontId="27" fillId="0" borderId="35" xfId="31" applyNumberFormat="1" applyBorder="1">
      <alignment/>
      <protection/>
    </xf>
    <xf numFmtId="0" fontId="21" fillId="10" borderId="0" xfId="31" applyFont="1" applyFill="1">
      <alignment/>
      <protection/>
    </xf>
    <xf numFmtId="0" fontId="21" fillId="18" borderId="0" xfId="31" applyFont="1" applyFill="1">
      <alignment/>
      <protection/>
    </xf>
    <xf numFmtId="0" fontId="27" fillId="0" borderId="0" xfId="31" applyAlignment="1">
      <alignment horizontal="center"/>
      <protection/>
    </xf>
    <xf numFmtId="2" fontId="27" fillId="0" borderId="0" xfId="31" applyNumberFormat="1" applyAlignment="1">
      <alignment horizontal="center"/>
      <protection/>
    </xf>
    <xf numFmtId="0" fontId="21" fillId="15" borderId="0" xfId="31" applyFont="1" applyFill="1">
      <alignment/>
      <protection/>
    </xf>
    <xf numFmtId="173" fontId="27" fillId="0" borderId="35" xfId="31" applyNumberFormat="1" applyBorder="1">
      <alignment/>
      <protection/>
    </xf>
    <xf numFmtId="169" fontId="27" fillId="0" borderId="35" xfId="16" applyNumberFormat="1" applyFont="1" applyBorder="1"/>
    <xf numFmtId="169" fontId="27" fillId="9" borderId="0" xfId="31" applyNumberFormat="1" applyFill="1" applyAlignment="1">
      <alignment horizontal="center"/>
      <protection/>
    </xf>
    <xf numFmtId="169" fontId="27" fillId="0" borderId="0" xfId="31" applyNumberFormat="1">
      <alignment/>
      <protection/>
    </xf>
    <xf numFmtId="169" fontId="27" fillId="0" borderId="0" xfId="31" applyNumberFormat="1" applyAlignment="1">
      <alignment horizontal="center"/>
      <protection/>
    </xf>
    <xf numFmtId="169" fontId="21" fillId="10" borderId="0" xfId="31" applyNumberFormat="1" applyFont="1" applyFill="1">
      <alignment/>
      <protection/>
    </xf>
    <xf numFmtId="169" fontId="21" fillId="18" borderId="0" xfId="31" applyNumberFormat="1" applyFont="1" applyFill="1">
      <alignment/>
      <protection/>
    </xf>
    <xf numFmtId="0" fontId="21" fillId="0" borderId="0" xfId="31" applyFont="1" applyFill="1">
      <alignment/>
      <protection/>
    </xf>
    <xf numFmtId="169" fontId="27" fillId="0" borderId="0" xfId="31" applyNumberFormat="1" applyFill="1" applyAlignment="1">
      <alignment horizontal="center"/>
      <protection/>
    </xf>
    <xf numFmtId="169" fontId="27" fillId="0" borderId="0" xfId="31" applyNumberFormat="1" applyFill="1">
      <alignment/>
      <protection/>
    </xf>
    <xf numFmtId="169" fontId="21" fillId="0" borderId="0" xfId="31" applyNumberFormat="1" applyFont="1" applyFill="1">
      <alignment/>
      <protection/>
    </xf>
    <xf numFmtId="169" fontId="27" fillId="9" borderId="35" xfId="16" applyNumberFormat="1" applyFont="1" applyFill="1" applyBorder="1"/>
    <xf numFmtId="0" fontId="27" fillId="9" borderId="35" xfId="31" applyFill="1" applyBorder="1">
      <alignment/>
      <protection/>
    </xf>
    <xf numFmtId="164" fontId="21" fillId="14" borderId="35" xfId="31" applyNumberFormat="1" applyFont="1" applyFill="1" applyBorder="1" applyAlignment="1">
      <alignment horizontal="center"/>
      <protection/>
    </xf>
    <xf numFmtId="173" fontId="21" fillId="10" borderId="0" xfId="31" applyNumberFormat="1" applyFont="1" applyFill="1" applyAlignment="1">
      <alignment horizontal="center"/>
      <protection/>
    </xf>
    <xf numFmtId="164" fontId="0" fillId="0" borderId="20" xfId="0" applyNumberFormat="1" applyBorder="1"/>
    <xf numFmtId="164" fontId="0" fillId="0" borderId="35" xfId="0" applyNumberFormat="1" applyBorder="1"/>
    <xf numFmtId="0" fontId="36" fillId="0" borderId="0" xfId="0" applyFont="1"/>
    <xf numFmtId="0" fontId="36" fillId="0" borderId="0" xfId="0" applyNumberFormat="1" applyFont="1" applyAlignment="1">
      <alignment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Fill="1" applyBorder="1" applyAlignment="1">
      <alignment/>
    </xf>
    <xf numFmtId="173" fontId="36" fillId="0" borderId="0" xfId="16" applyNumberFormat="1" applyFont="1" applyFill="1" applyBorder="1" applyAlignment="1">
      <alignment/>
    </xf>
    <xf numFmtId="0" fontId="6" fillId="0" borderId="35" xfId="24" applyFont="1" applyFill="1" applyBorder="1"/>
    <xf numFmtId="164" fontId="6" fillId="0" borderId="35" xfId="24" applyNumberFormat="1" applyFont="1" applyFill="1" applyBorder="1"/>
    <xf numFmtId="167" fontId="6" fillId="0" borderId="35" xfId="24" applyNumberFormat="1" applyFont="1" applyFill="1" applyBorder="1"/>
    <xf numFmtId="0" fontId="6" fillId="0" borderId="0" xfId="0" applyFont="1" applyFill="1"/>
    <xf numFmtId="0" fontId="6" fillId="0" borderId="35" xfId="27" applyFont="1" applyFill="1" applyBorder="1"/>
    <xf numFmtId="164" fontId="6" fillId="0" borderId="35" xfId="27" applyNumberFormat="1" applyFont="1" applyFill="1" applyBorder="1"/>
    <xf numFmtId="167" fontId="6" fillId="0" borderId="35" xfId="27" applyNumberFormat="1" applyFont="1" applyFill="1" applyBorder="1"/>
    <xf numFmtId="175" fontId="0" fillId="0" borderId="0" xfId="0" applyNumberFormat="1" applyFill="1" applyAlignment="1">
      <alignment horizontal="left"/>
    </xf>
    <xf numFmtId="175" fontId="0" fillId="0" borderId="0" xfId="15" applyNumberFormat="1" applyFont="1" applyFill="1" applyAlignment="1">
      <alignment horizontal="left"/>
    </xf>
    <xf numFmtId="0" fontId="6" fillId="0" borderId="0" xfId="0" applyFont="1"/>
    <xf numFmtId="0" fontId="6" fillId="0" borderId="35" xfId="0" applyFont="1" applyBorder="1"/>
    <xf numFmtId="0" fontId="23" fillId="0" borderId="35" xfId="0" applyFont="1" applyBorder="1"/>
    <xf numFmtId="0" fontId="23" fillId="0" borderId="35" xfId="0" applyFont="1" applyFill="1" applyBorder="1"/>
    <xf numFmtId="0" fontId="6" fillId="0" borderId="35" xfId="0" applyFont="1" applyFill="1" applyBorder="1"/>
    <xf numFmtId="0" fontId="6" fillId="19" borderId="35" xfId="24" applyFont="1" applyFill="1" applyBorder="1"/>
    <xf numFmtId="164" fontId="6" fillId="19" borderId="35" xfId="24" applyNumberFormat="1" applyFont="1" applyFill="1" applyBorder="1"/>
    <xf numFmtId="167" fontId="6" fillId="19" borderId="35" xfId="24" applyNumberFormat="1" applyFont="1" applyFill="1" applyBorder="1"/>
    <xf numFmtId="0" fontId="6" fillId="19" borderId="0" xfId="0" applyFont="1" applyFill="1"/>
    <xf numFmtId="0" fontId="37" fillId="0" borderId="41" xfId="0" applyFont="1" applyBorder="1" applyAlignment="1">
      <alignment vertical="center" wrapText="1"/>
    </xf>
    <xf numFmtId="0" fontId="37" fillId="0" borderId="41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" fontId="3" fillId="2" borderId="28" xfId="20" applyNumberFormat="1" applyBorder="1" applyAlignment="1">
      <alignment horizontal="center"/>
    </xf>
    <xf numFmtId="1" fontId="3" fillId="2" borderId="44" xfId="20" applyNumberFormat="1" applyBorder="1" applyAlignment="1">
      <alignment horizontal="center"/>
    </xf>
    <xf numFmtId="0" fontId="3" fillId="2" borderId="15" xfId="20" applyBorder="1" applyAlignment="1">
      <alignment horizontal="center"/>
    </xf>
    <xf numFmtId="0" fontId="3" fillId="2" borderId="28" xfId="20" applyBorder="1" applyAlignment="1">
      <alignment horizontal="center"/>
    </xf>
    <xf numFmtId="0" fontId="3" fillId="2" borderId="44" xfId="20" applyBorder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2" xfId="20"/>
    <cellStyle name="Normal 2" xfId="21"/>
    <cellStyle name="Comma 2" xfId="22"/>
    <cellStyle name="BOM" xfId="23"/>
    <cellStyle name="Good" xfId="24"/>
    <cellStyle name="40% - Accent4" xfId="25"/>
    <cellStyle name="Heading 2" xfId="26"/>
    <cellStyle name="Bad" xfId="27"/>
    <cellStyle name="Calculation" xfId="28"/>
    <cellStyle name="Accent1" xfId="29"/>
    <cellStyle name="Neutral" xfId="30"/>
    <cellStyle name="Normal 3" xfId="31"/>
    <cellStyle name="Hyperlink" xfId="32"/>
  </cellStyles>
  <dxfs count="5"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22</xdr:row>
      <xdr:rowOff>57150</xdr:rowOff>
    </xdr:from>
    <xdr:ext cx="7867650" cy="933450"/>
    <xdr:sp macro="" textlink="">
      <xdr:nvSpPr>
        <xdr:cNvPr id="2" name="Rectangle 1"/>
        <xdr:cNvSpPr/>
      </xdr:nvSpPr>
      <xdr:spPr>
        <a:xfrm>
          <a:off x="3171825" y="4248150"/>
          <a:ext cx="7867650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DRAFT Subject to Change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190500</xdr:rowOff>
    </xdr:from>
    <xdr:to>
      <xdr:col>11</xdr:col>
      <xdr:colOff>771525</xdr:colOff>
      <xdr:row>13</xdr:row>
      <xdr:rowOff>9525</xdr:rowOff>
    </xdr:to>
    <xdr:sp macro="" textlink="">
      <xdr:nvSpPr>
        <xdr:cNvPr id="2" name="TextBox 1"/>
        <xdr:cNvSpPr txBox="1"/>
      </xdr:nvSpPr>
      <xdr:spPr>
        <a:xfrm>
          <a:off x="10191750" y="190500"/>
          <a:ext cx="4562475" cy="22955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en-US" sz="1100"/>
        </a:p>
        <a:p>
          <a:r>
            <a:rPr lang="en-US" sz="1100"/>
            <a:t>Workscope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Define workscope.  This is cut and pasted in to AWP worksheet.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/>
            <a:t>Justificaiton/Drivers/Requirements:</a:t>
          </a:r>
        </a:p>
        <a:p>
          <a:r>
            <a:rPr lang="en-US" sz="1100"/>
            <a:t>Why is this project necessary?  Thsi will eb cut and pasted in to AWP worksheet</a:t>
          </a:r>
        </a:p>
        <a:p>
          <a:endParaRPr lang="en-US" sz="1100"/>
        </a:p>
        <a:p>
          <a:r>
            <a:rPr lang="en-US" sz="1100"/>
            <a:t>Deliverables:</a:t>
          </a:r>
        </a:p>
        <a:p>
          <a:r>
            <a:rPr lang="en-US" sz="1100"/>
            <a:t>What is the final end product or outcome?  This will be cut and pasted in to the</a:t>
          </a:r>
          <a:r>
            <a:rPr lang="en-US" sz="1100" baseline="0"/>
            <a:t> AWP worksheet.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\RF\hovater\LCLSII_14\CD2%20Cost\Engineering%20Design_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ineering Design"/>
      <sheetName val="Cncp Des"/>
      <sheetName val="FFC"/>
      <sheetName val="Block DC"/>
      <sheetName val="Resonance"/>
      <sheetName val="Interlocks"/>
      <sheetName val="Reference"/>
      <sheetName val="Infrastructure"/>
      <sheetName val="FC Sim-Cal Teststand"/>
      <sheetName val="ED Pre-Prod"/>
    </sheetNames>
    <sheetDataSet>
      <sheetData sheetId="0"/>
      <sheetData sheetId="1"/>
      <sheetData sheetId="2"/>
      <sheetData sheetId="3">
        <row r="18">
          <cell r="B18">
            <v>0.45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 topLeftCell="A13">
      <selection activeCell="G66" sqref="G66"/>
    </sheetView>
  </sheetViews>
  <sheetFormatPr defaultColWidth="9.140625" defaultRowHeight="15"/>
  <cols>
    <col min="1" max="1" width="17.28125" style="40" bestFit="1" customWidth="1"/>
    <col min="2" max="2" width="18.140625" style="40" bestFit="1" customWidth="1"/>
    <col min="3" max="3" width="7.7109375" style="40" customWidth="1"/>
    <col min="4" max="4" width="10.7109375" style="40" customWidth="1"/>
    <col min="5" max="5" width="11.140625" style="40" customWidth="1"/>
    <col min="6" max="6" width="10.57421875" style="40" customWidth="1"/>
    <col min="7" max="7" width="9.140625" style="40" customWidth="1"/>
    <col min="8" max="8" width="10.7109375" style="40" bestFit="1" customWidth="1"/>
    <col min="9" max="9" width="11.140625" style="40" bestFit="1" customWidth="1"/>
    <col min="10" max="10" width="10.57421875" style="40" bestFit="1" customWidth="1"/>
    <col min="11" max="11" width="71.28125" style="40" bestFit="1" customWidth="1"/>
    <col min="12" max="16384" width="9.140625" style="40" customWidth="1"/>
  </cols>
  <sheetData>
    <row r="1" spans="8:10" ht="15">
      <c r="H1" s="239" t="s">
        <v>366</v>
      </c>
      <c r="I1" s="33" t="s">
        <v>367</v>
      </c>
      <c r="J1" s="33" t="s">
        <v>368</v>
      </c>
    </row>
    <row r="2" spans="8:10" ht="15">
      <c r="H2" s="60">
        <v>1.45384</v>
      </c>
      <c r="I2" s="40">
        <v>1.49</v>
      </c>
      <c r="J2" s="40">
        <v>1.513</v>
      </c>
    </row>
    <row r="3" ht="15">
      <c r="A3" s="33" t="s">
        <v>358</v>
      </c>
    </row>
    <row r="4" ht="15">
      <c r="A4" s="33"/>
    </row>
    <row r="5" spans="1:11" ht="15">
      <c r="A5" s="33" t="s">
        <v>356</v>
      </c>
      <c r="D5" s="462" t="s">
        <v>369</v>
      </c>
      <c r="E5" s="463"/>
      <c r="F5" s="464"/>
      <c r="G5" s="33"/>
      <c r="H5" s="462" t="s">
        <v>370</v>
      </c>
      <c r="I5" s="463"/>
      <c r="J5" s="464"/>
      <c r="K5" s="236" t="s">
        <v>222</v>
      </c>
    </row>
    <row r="6" spans="1:11" ht="15">
      <c r="A6" s="236" t="s">
        <v>300</v>
      </c>
      <c r="B6" s="236" t="s">
        <v>359</v>
      </c>
      <c r="C6" s="236" t="s">
        <v>302</v>
      </c>
      <c r="D6" s="240" t="s">
        <v>140</v>
      </c>
      <c r="E6" s="240" t="s">
        <v>327</v>
      </c>
      <c r="F6" s="240" t="s">
        <v>163</v>
      </c>
      <c r="H6" s="240" t="s">
        <v>140</v>
      </c>
      <c r="I6" s="240" t="s">
        <v>327</v>
      </c>
      <c r="J6" s="240" t="s">
        <v>163</v>
      </c>
      <c r="K6" s="451"/>
    </row>
    <row r="7" spans="1:11" ht="15">
      <c r="A7" s="237"/>
      <c r="B7" s="237"/>
      <c r="C7" s="261">
        <f>53.68/44</f>
        <v>1.22</v>
      </c>
      <c r="D7" s="271">
        <v>160.322</v>
      </c>
      <c r="E7" s="271">
        <v>189.48</v>
      </c>
      <c r="F7" s="271">
        <f>SUM(D7:E7)</f>
        <v>349.802</v>
      </c>
      <c r="H7" s="271">
        <f>160.3214*H$2</f>
        <v>233.08166417600003</v>
      </c>
      <c r="I7" s="271">
        <f>(189.48-2.602)*H$2+2.602</f>
        <v>274.29271151999995</v>
      </c>
      <c r="J7" s="271">
        <f>SUM(H7:I7)</f>
        <v>507.374375696</v>
      </c>
      <c r="K7" s="452" t="s">
        <v>354</v>
      </c>
    </row>
    <row r="8" spans="3:11" ht="15">
      <c r="C8" s="59"/>
      <c r="K8" s="451"/>
    </row>
    <row r="9" spans="1:11" ht="15">
      <c r="A9" s="33" t="s">
        <v>357</v>
      </c>
      <c r="C9" s="59"/>
      <c r="K9" s="451"/>
    </row>
    <row r="10" spans="1:11" ht="15">
      <c r="A10" s="236" t="s">
        <v>300</v>
      </c>
      <c r="B10" s="236" t="s">
        <v>359</v>
      </c>
      <c r="C10" s="264" t="s">
        <v>302</v>
      </c>
      <c r="D10" s="240" t="s">
        <v>140</v>
      </c>
      <c r="E10" s="240" t="s">
        <v>327</v>
      </c>
      <c r="F10" s="240" t="s">
        <v>163</v>
      </c>
      <c r="H10" s="240" t="s">
        <v>140</v>
      </c>
      <c r="I10" s="240" t="s">
        <v>327</v>
      </c>
      <c r="J10" s="240" t="s">
        <v>163</v>
      </c>
      <c r="K10" s="453" t="s">
        <v>222</v>
      </c>
    </row>
    <row r="11" spans="1:11" ht="15">
      <c r="A11" s="442" t="s">
        <v>40</v>
      </c>
      <c r="B11" s="442" t="s">
        <v>285</v>
      </c>
      <c r="C11" s="443">
        <v>0</v>
      </c>
      <c r="D11" s="444">
        <v>0</v>
      </c>
      <c r="E11" s="444">
        <f>MSSURV!D41</f>
        <v>0</v>
      </c>
      <c r="F11" s="444">
        <f>SUM(D11:E11)</f>
        <v>0</v>
      </c>
      <c r="G11" s="445"/>
      <c r="H11" s="444">
        <f>D11*I$2</f>
        <v>0</v>
      </c>
      <c r="I11" s="444">
        <f>E11*I$2</f>
        <v>0</v>
      </c>
      <c r="J11" s="444">
        <f>SUM(H11:I11)</f>
        <v>0</v>
      </c>
      <c r="K11" s="442"/>
    </row>
    <row r="12" spans="1:11" ht="15">
      <c r="A12" s="442" t="s">
        <v>60</v>
      </c>
      <c r="B12" s="442" t="s">
        <v>328</v>
      </c>
      <c r="C12" s="443">
        <v>0</v>
      </c>
      <c r="D12" s="444">
        <v>0</v>
      </c>
      <c r="E12" s="444">
        <v>0</v>
      </c>
      <c r="F12" s="444">
        <f>SUM(D12:E12)</f>
        <v>0</v>
      </c>
      <c r="G12" s="445"/>
      <c r="H12" s="444">
        <f aca="true" t="shared" si="0" ref="H12:H23">D12*I$2</f>
        <v>0</v>
      </c>
      <c r="I12" s="444">
        <f aca="true" t="shared" si="1" ref="I12:I23">E12*I$2</f>
        <v>0</v>
      </c>
      <c r="J12" s="444">
        <f>SUM(H12:I12)</f>
        <v>0</v>
      </c>
      <c r="K12" s="442"/>
    </row>
    <row r="13" spans="1:11" ht="15">
      <c r="A13" s="456" t="s">
        <v>37</v>
      </c>
      <c r="B13" s="456" t="s">
        <v>37</v>
      </c>
      <c r="C13" s="457">
        <f>EESRFS!B8</f>
        <v>4.036363636363636</v>
      </c>
      <c r="D13" s="458">
        <f>EESRFS!C11+EESRFS!D11+EESRFS!E11+EESRFS!F11</f>
        <v>468.245</v>
      </c>
      <c r="E13" s="458">
        <f>EESRFS!I17</f>
        <v>252.5</v>
      </c>
      <c r="F13" s="458">
        <f>SUM(D13:E13)</f>
        <v>720.745</v>
      </c>
      <c r="G13" s="459"/>
      <c r="H13" s="458">
        <f t="shared" si="0"/>
        <v>697.68505</v>
      </c>
      <c r="I13" s="458">
        <f>(E13-5.485)*I$2+5.485</f>
        <v>373.53735</v>
      </c>
      <c r="J13" s="458">
        <f>SUM(H13:I13)</f>
        <v>1071.2224</v>
      </c>
      <c r="K13" s="459" t="s">
        <v>434</v>
      </c>
    </row>
    <row r="14" spans="1:11" ht="15">
      <c r="A14" s="442" t="s">
        <v>75</v>
      </c>
      <c r="B14" s="442" t="s">
        <v>275</v>
      </c>
      <c r="C14" s="443">
        <v>0</v>
      </c>
      <c r="D14" s="444">
        <v>0</v>
      </c>
      <c r="E14" s="444">
        <v>0</v>
      </c>
      <c r="F14" s="444">
        <f>SUM(D14:E14)</f>
        <v>0</v>
      </c>
      <c r="G14" s="445"/>
      <c r="H14" s="444">
        <f t="shared" si="0"/>
        <v>0</v>
      </c>
      <c r="I14" s="444">
        <f t="shared" si="1"/>
        <v>0</v>
      </c>
      <c r="J14" s="444">
        <f>SUM(H14:I14)</f>
        <v>0</v>
      </c>
      <c r="K14" s="442"/>
    </row>
    <row r="15" spans="1:11" ht="15">
      <c r="A15" s="446" t="s">
        <v>36</v>
      </c>
      <c r="B15" s="446" t="s">
        <v>276</v>
      </c>
      <c r="C15" s="447">
        <v>0</v>
      </c>
      <c r="D15" s="448">
        <v>0</v>
      </c>
      <c r="E15" s="448">
        <v>0</v>
      </c>
      <c r="F15" s="448">
        <f>SUM(D15:E15)</f>
        <v>0</v>
      </c>
      <c r="G15" s="445"/>
      <c r="H15" s="448">
        <f t="shared" si="0"/>
        <v>0</v>
      </c>
      <c r="I15" s="448">
        <f t="shared" si="1"/>
        <v>0</v>
      </c>
      <c r="J15" s="448">
        <f>SUM(H15:I15)</f>
        <v>0</v>
      </c>
      <c r="K15" s="446"/>
    </row>
    <row r="16" spans="1:11" ht="15">
      <c r="A16" s="446" t="s">
        <v>36</v>
      </c>
      <c r="B16" s="446" t="s">
        <v>280</v>
      </c>
      <c r="C16" s="447">
        <v>0</v>
      </c>
      <c r="D16" s="448">
        <v>0</v>
      </c>
      <c r="E16" s="448">
        <v>0</v>
      </c>
      <c r="F16" s="448">
        <f aca="true" t="shared" si="2" ref="F16:F23">SUM(D16:E16)</f>
        <v>0</v>
      </c>
      <c r="G16" s="445"/>
      <c r="H16" s="448">
        <f t="shared" si="0"/>
        <v>0</v>
      </c>
      <c r="I16" s="448">
        <f t="shared" si="1"/>
        <v>0</v>
      </c>
      <c r="J16" s="448">
        <f aca="true" t="shared" si="3" ref="J16:J23">SUM(H16:I16)</f>
        <v>0</v>
      </c>
      <c r="K16" s="446"/>
    </row>
    <row r="17" spans="1:11" ht="15">
      <c r="A17" s="456" t="s">
        <v>36</v>
      </c>
      <c r="B17" s="456" t="s">
        <v>281</v>
      </c>
      <c r="C17" s="457">
        <f>'EESSAF-ODH 4-22-15'!F16</f>
        <v>0.30454545454545456</v>
      </c>
      <c r="D17" s="458">
        <f>'EESSAF-ODH 4-22-15'!G36</f>
        <v>26.962</v>
      </c>
      <c r="E17" s="458">
        <f>'EESSAF-ODH 4-22-15'!D18</f>
        <v>10.6665</v>
      </c>
      <c r="F17" s="458">
        <f t="shared" si="2"/>
        <v>37.6285</v>
      </c>
      <c r="G17" s="459"/>
      <c r="H17" s="458">
        <f t="shared" si="0"/>
        <v>40.17338</v>
      </c>
      <c r="I17" s="458">
        <f t="shared" si="1"/>
        <v>15.893085</v>
      </c>
      <c r="J17" s="458">
        <f t="shared" si="3"/>
        <v>56.066465</v>
      </c>
      <c r="K17" s="459"/>
    </row>
    <row r="18" spans="1:11" ht="15">
      <c r="A18" s="456" t="s">
        <v>76</v>
      </c>
      <c r="B18" s="456" t="s">
        <v>277</v>
      </c>
      <c r="C18" s="457">
        <f>MSCRYO!G35</f>
        <v>1.9650000000000003</v>
      </c>
      <c r="D18" s="458">
        <f>MSCRYO!I35</f>
        <v>142.334</v>
      </c>
      <c r="E18" s="458">
        <f>MSCRYO!I38</f>
        <v>48</v>
      </c>
      <c r="F18" s="458">
        <f t="shared" si="2"/>
        <v>190.334</v>
      </c>
      <c r="G18" s="459"/>
      <c r="H18" s="458">
        <f t="shared" si="0"/>
        <v>212.07766</v>
      </c>
      <c r="I18" s="248">
        <f t="shared" si="1"/>
        <v>71.52</v>
      </c>
      <c r="J18" s="458">
        <f t="shared" si="3"/>
        <v>283.59766</v>
      </c>
      <c r="K18" s="248" t="s">
        <v>331</v>
      </c>
    </row>
    <row r="19" spans="1:11" ht="15">
      <c r="A19" s="456" t="s">
        <v>340</v>
      </c>
      <c r="B19" s="456" t="s">
        <v>341</v>
      </c>
      <c r="C19" s="457">
        <f>MSMECH!G14</f>
        <v>1.4999999999999998</v>
      </c>
      <c r="D19" s="458">
        <f>MSMECH!H14</f>
        <v>194.91299999999998</v>
      </c>
      <c r="E19" s="458">
        <v>0</v>
      </c>
      <c r="F19" s="458">
        <f t="shared" si="2"/>
        <v>194.91299999999998</v>
      </c>
      <c r="G19" s="459"/>
      <c r="H19" s="458">
        <f t="shared" si="0"/>
        <v>290.42037</v>
      </c>
      <c r="I19" s="458">
        <f t="shared" si="1"/>
        <v>0</v>
      </c>
      <c r="J19" s="458">
        <f t="shared" si="3"/>
        <v>290.42037</v>
      </c>
      <c r="K19" s="459"/>
    </row>
    <row r="20" spans="1:11" ht="15">
      <c r="A20" s="442" t="s">
        <v>282</v>
      </c>
      <c r="B20" s="442" t="s">
        <v>329</v>
      </c>
      <c r="C20" s="443">
        <v>0</v>
      </c>
      <c r="D20" s="444">
        <v>0</v>
      </c>
      <c r="E20" s="444">
        <v>0</v>
      </c>
      <c r="F20" s="444">
        <f t="shared" si="2"/>
        <v>0</v>
      </c>
      <c r="G20" s="445"/>
      <c r="H20" s="444">
        <f t="shared" si="0"/>
        <v>0</v>
      </c>
      <c r="I20" s="444">
        <f t="shared" si="1"/>
        <v>0</v>
      </c>
      <c r="J20" s="444">
        <f t="shared" si="3"/>
        <v>0</v>
      </c>
      <c r="K20" s="446"/>
    </row>
    <row r="21" spans="1:11" ht="15">
      <c r="A21" s="442" t="s">
        <v>336</v>
      </c>
      <c r="B21" s="442" t="s">
        <v>279</v>
      </c>
      <c r="C21" s="443">
        <v>0</v>
      </c>
      <c r="D21" s="444">
        <v>0</v>
      </c>
      <c r="E21" s="444">
        <v>0</v>
      </c>
      <c r="F21" s="444">
        <f t="shared" si="2"/>
        <v>0</v>
      </c>
      <c r="G21" s="445"/>
      <c r="H21" s="444">
        <f t="shared" si="0"/>
        <v>0</v>
      </c>
      <c r="I21" s="444">
        <f t="shared" si="1"/>
        <v>0</v>
      </c>
      <c r="J21" s="444">
        <f t="shared" si="3"/>
        <v>0</v>
      </c>
      <c r="K21" s="442"/>
    </row>
    <row r="22" spans="1:11" ht="15">
      <c r="A22" s="442" t="s">
        <v>283</v>
      </c>
      <c r="B22" s="442" t="s">
        <v>278</v>
      </c>
      <c r="C22" s="443">
        <v>0</v>
      </c>
      <c r="D22" s="444">
        <v>0</v>
      </c>
      <c r="E22" s="444">
        <v>0</v>
      </c>
      <c r="F22" s="444">
        <f t="shared" si="2"/>
        <v>0</v>
      </c>
      <c r="G22" s="445"/>
      <c r="H22" s="444">
        <f t="shared" si="0"/>
        <v>0</v>
      </c>
      <c r="I22" s="444">
        <f t="shared" si="1"/>
        <v>0</v>
      </c>
      <c r="J22" s="444">
        <f t="shared" si="3"/>
        <v>0</v>
      </c>
      <c r="K22" s="446" t="s">
        <v>351</v>
      </c>
    </row>
    <row r="23" spans="1:11" ht="15">
      <c r="A23" s="456" t="s">
        <v>284</v>
      </c>
      <c r="B23" s="456" t="s">
        <v>274</v>
      </c>
      <c r="C23" s="457">
        <f>Facilities!H12</f>
        <v>0.772</v>
      </c>
      <c r="D23" s="458">
        <f>Facilities!I12</f>
        <v>104.911</v>
      </c>
      <c r="E23" s="458">
        <f>Facilities!I15</f>
        <v>300</v>
      </c>
      <c r="F23" s="458">
        <f t="shared" si="2"/>
        <v>404.911</v>
      </c>
      <c r="G23" s="459"/>
      <c r="H23" s="458">
        <f t="shared" si="0"/>
        <v>156.31739</v>
      </c>
      <c r="I23" s="458">
        <f t="shared" si="1"/>
        <v>447</v>
      </c>
      <c r="J23" s="458">
        <f t="shared" si="3"/>
        <v>603.3173899999999</v>
      </c>
      <c r="K23" s="459" t="s">
        <v>332</v>
      </c>
    </row>
    <row r="24" spans="2:11" ht="15.75" thickBot="1">
      <c r="B24" s="98"/>
      <c r="C24" s="435"/>
      <c r="D24" s="270"/>
      <c r="E24" s="270"/>
      <c r="F24" s="270"/>
      <c r="H24" s="270"/>
      <c r="I24" s="270"/>
      <c r="J24" s="270"/>
      <c r="K24" s="445"/>
    </row>
    <row r="25" spans="2:11" ht="15">
      <c r="B25" s="33" t="s">
        <v>163</v>
      </c>
      <c r="C25" s="251">
        <f>SUM(C11:C23)</f>
        <v>8.577909090909092</v>
      </c>
      <c r="D25" s="249">
        <f>SUM(D11:D23)</f>
        <v>937.365</v>
      </c>
      <c r="E25" s="249">
        <f>SUM(E11:E23)</f>
        <v>611.1665</v>
      </c>
      <c r="F25" s="249">
        <f>SUM(F11:F23)</f>
        <v>1548.5315</v>
      </c>
      <c r="H25" s="249">
        <f>SUM(H11:H23)</f>
        <v>1396.67385</v>
      </c>
      <c r="I25" s="249">
        <f>SUM(I11:I23)</f>
        <v>907.950435</v>
      </c>
      <c r="J25" s="249">
        <f>SUM(J11:J23)</f>
        <v>2304.6242850000003</v>
      </c>
      <c r="K25" s="445"/>
    </row>
    <row r="26" spans="3:11" ht="15">
      <c r="C26" s="59"/>
      <c r="F26" s="187"/>
      <c r="J26" s="187"/>
      <c r="K26" s="445"/>
    </row>
    <row r="27" spans="1:11" ht="15">
      <c r="A27" s="33" t="s">
        <v>355</v>
      </c>
      <c r="B27" s="40" t="s">
        <v>452</v>
      </c>
      <c r="C27" s="59"/>
      <c r="K27" s="445"/>
    </row>
    <row r="28" spans="1:11" ht="15">
      <c r="A28" s="236" t="s">
        <v>300</v>
      </c>
      <c r="B28" s="236" t="s">
        <v>359</v>
      </c>
      <c r="C28" s="264" t="s">
        <v>302</v>
      </c>
      <c r="D28" s="240" t="s">
        <v>140</v>
      </c>
      <c r="E28" s="240" t="s">
        <v>327</v>
      </c>
      <c r="F28" s="240" t="s">
        <v>163</v>
      </c>
      <c r="H28" s="240" t="s">
        <v>140</v>
      </c>
      <c r="I28" s="240" t="s">
        <v>327</v>
      </c>
      <c r="J28" s="240" t="s">
        <v>163</v>
      </c>
      <c r="K28" s="454" t="s">
        <v>222</v>
      </c>
    </row>
    <row r="29" spans="1:11" ht="15">
      <c r="A29" s="244" t="s">
        <v>40</v>
      </c>
      <c r="B29" s="244" t="s">
        <v>285</v>
      </c>
      <c r="C29" s="262">
        <f>MSSURV!B33</f>
        <v>0.5034090909090909</v>
      </c>
      <c r="D29" s="245">
        <f>MSSURV!D48</f>
        <v>69.20007325</v>
      </c>
      <c r="E29" s="245">
        <f>MSSURV!D50</f>
        <v>0</v>
      </c>
      <c r="F29" s="245">
        <f>SUM(D29:E29)</f>
        <v>69.20007325</v>
      </c>
      <c r="H29" s="245">
        <f>D29*J$2</f>
        <v>104.69971082725</v>
      </c>
      <c r="I29" s="245">
        <f>E29*J$2</f>
        <v>0</v>
      </c>
      <c r="J29" s="245">
        <f>SUM(H29:I29)</f>
        <v>104.69971082725</v>
      </c>
      <c r="K29" s="245"/>
    </row>
    <row r="30" spans="1:11" ht="15">
      <c r="A30" s="244" t="s">
        <v>60</v>
      </c>
      <c r="B30" s="244" t="s">
        <v>328</v>
      </c>
      <c r="C30" s="262">
        <f>'EESICS rev1'!L59</f>
        <v>2.1772727272727272</v>
      </c>
      <c r="D30" s="245">
        <f>'EESICS rev1'!L65</f>
        <v>209.814</v>
      </c>
      <c r="E30" s="245">
        <f>'EESICS rev1'!M64</f>
        <v>219.5</v>
      </c>
      <c r="F30" s="245">
        <f>SUM(D30:E30)</f>
        <v>429.31399999999996</v>
      </c>
      <c r="H30" s="245">
        <f>D30*J$2</f>
        <v>317.448582</v>
      </c>
      <c r="I30" s="245">
        <f>E30*J$2</f>
        <v>332.1035</v>
      </c>
      <c r="J30" s="245">
        <f>SUM(H30:I30)</f>
        <v>649.5520819999999</v>
      </c>
      <c r="K30" s="245"/>
    </row>
    <row r="31" spans="1:11" ht="15">
      <c r="A31" s="237" t="s">
        <v>37</v>
      </c>
      <c r="B31" s="237" t="s">
        <v>37</v>
      </c>
      <c r="C31" s="436"/>
      <c r="D31" s="238"/>
      <c r="E31" s="238"/>
      <c r="F31" s="238"/>
      <c r="H31" s="238"/>
      <c r="I31" s="238"/>
      <c r="J31" s="238"/>
      <c r="K31" s="455"/>
    </row>
    <row r="32" spans="1:11" ht="15">
      <c r="A32" s="244" t="s">
        <v>75</v>
      </c>
      <c r="B32" s="244" t="s">
        <v>275</v>
      </c>
      <c r="C32" s="262">
        <f>'EESDCP 4-22-15'!B18</f>
        <v>0.3318181818181818</v>
      </c>
      <c r="D32" s="245">
        <f>'EESDCP 4-22-15'!B23</f>
        <v>32.20998</v>
      </c>
      <c r="E32" s="245">
        <f>'EESDCP 4-22-15'!F32</f>
        <v>144.5</v>
      </c>
      <c r="F32" s="245">
        <f>SUM(D32:E32)</f>
        <v>176.70998</v>
      </c>
      <c r="H32" s="245">
        <f>D32*J$2</f>
        <v>48.73369974</v>
      </c>
      <c r="I32" s="245">
        <f>E32*J$2</f>
        <v>218.62849999999997</v>
      </c>
      <c r="J32" s="245">
        <f>SUM(H32:I32)</f>
        <v>267.36219974</v>
      </c>
      <c r="K32" s="245"/>
    </row>
    <row r="33" spans="1:11" ht="15">
      <c r="A33" s="247" t="s">
        <v>36</v>
      </c>
      <c r="B33" s="247" t="s">
        <v>276</v>
      </c>
      <c r="C33" s="263">
        <f>'EESSAF-PSS'!B$31</f>
        <v>1.5488636363636366</v>
      </c>
      <c r="D33" s="248">
        <f>'EESSAF-PSS'!B$34</f>
        <v>153.863755375</v>
      </c>
      <c r="E33" s="248">
        <f>'EESSAF-PSS'!B$37</f>
        <v>35</v>
      </c>
      <c r="F33" s="248">
        <f>SUM(D33:E33)</f>
        <v>188.863755375</v>
      </c>
      <c r="H33" s="248">
        <f>D33*J$2</f>
        <v>232.795861882375</v>
      </c>
      <c r="I33" s="248">
        <f>E33*J$2</f>
        <v>52.955</v>
      </c>
      <c r="J33" s="248">
        <f>SUM(H33:I33)</f>
        <v>285.750861882375</v>
      </c>
      <c r="K33" s="248" t="s">
        <v>548</v>
      </c>
    </row>
    <row r="34" spans="1:11" ht="15">
      <c r="A34" s="247" t="s">
        <v>36</v>
      </c>
      <c r="B34" s="247" t="s">
        <v>280</v>
      </c>
      <c r="C34" s="263">
        <v>0</v>
      </c>
      <c r="D34" s="248">
        <v>0</v>
      </c>
      <c r="E34" s="248">
        <v>0</v>
      </c>
      <c r="F34" s="248">
        <f aca="true" t="shared" si="4" ref="F34">SUM(D34:E34)</f>
        <v>0</v>
      </c>
      <c r="H34" s="248">
        <f>D34*J$2</f>
        <v>0</v>
      </c>
      <c r="I34" s="248">
        <f>E34*J$2</f>
        <v>0</v>
      </c>
      <c r="J34" s="248">
        <f aca="true" t="shared" si="5" ref="J34">SUM(H34:I34)</f>
        <v>0</v>
      </c>
      <c r="K34" s="248" t="s">
        <v>548</v>
      </c>
    </row>
    <row r="35" spans="1:11" ht="15">
      <c r="A35" s="237" t="s">
        <v>36</v>
      </c>
      <c r="B35" s="237" t="s">
        <v>281</v>
      </c>
      <c r="C35" s="436"/>
      <c r="D35" s="238"/>
      <c r="E35" s="238"/>
      <c r="F35" s="238"/>
      <c r="H35" s="238"/>
      <c r="I35" s="238"/>
      <c r="J35" s="238"/>
      <c r="K35" s="455"/>
    </row>
    <row r="36" spans="1:11" ht="15">
      <c r="A36" s="244" t="s">
        <v>76</v>
      </c>
      <c r="B36" s="244" t="s">
        <v>277</v>
      </c>
      <c r="C36" s="262">
        <f>0.5</f>
        <v>0.5</v>
      </c>
      <c r="D36" s="245">
        <f>(186/1.49)/2</f>
        <v>62.41610738255034</v>
      </c>
      <c r="E36" s="245">
        <v>42.5</v>
      </c>
      <c r="F36" s="245">
        <f aca="true" t="shared" si="6" ref="F36">SUM(D36:E36)</f>
        <v>104.91610738255034</v>
      </c>
      <c r="H36" s="245">
        <f aca="true" t="shared" si="7" ref="H36">D36*J$2</f>
        <v>94.43557046979865</v>
      </c>
      <c r="I36" s="245">
        <f aca="true" t="shared" si="8" ref="I36">E36*J$2</f>
        <v>64.3025</v>
      </c>
      <c r="J36" s="245">
        <f aca="true" t="shared" si="9" ref="J36:J40">SUM(H36:I36)</f>
        <v>158.73807046979863</v>
      </c>
      <c r="K36" s="245"/>
    </row>
    <row r="37" spans="1:11" ht="15">
      <c r="A37" s="237" t="s">
        <v>340</v>
      </c>
      <c r="B37" s="237" t="s">
        <v>341</v>
      </c>
      <c r="C37" s="436"/>
      <c r="D37" s="238"/>
      <c r="E37" s="238"/>
      <c r="F37" s="238"/>
      <c r="H37" s="238"/>
      <c r="I37" s="238"/>
      <c r="J37" s="238"/>
      <c r="K37" s="455"/>
    </row>
    <row r="38" spans="1:11" ht="15">
      <c r="A38" s="244" t="s">
        <v>282</v>
      </c>
      <c r="B38" s="244" t="s">
        <v>329</v>
      </c>
      <c r="C38" s="262">
        <f>OPSSFT!G$12</f>
        <v>1.2227272727272729</v>
      </c>
      <c r="D38" s="245">
        <f>OPSSFT!I$12</f>
        <v>174.957904</v>
      </c>
      <c r="E38" s="245">
        <f>OPSSFT!H$16</f>
        <v>58</v>
      </c>
      <c r="F38" s="245">
        <f aca="true" t="shared" si="10" ref="F38:F40">SUM(D38:E38)</f>
        <v>232.957904</v>
      </c>
      <c r="H38" s="245">
        <f>D38*J$2</f>
        <v>264.711308752</v>
      </c>
      <c r="I38" s="245">
        <f>E38*J$2</f>
        <v>87.75399999999999</v>
      </c>
      <c r="J38" s="245">
        <f t="shared" si="9"/>
        <v>352.46530875199994</v>
      </c>
      <c r="K38" s="245"/>
    </row>
    <row r="39" spans="1:11" ht="15">
      <c r="A39" s="244" t="s">
        <v>336</v>
      </c>
      <c r="B39" s="244" t="s">
        <v>279</v>
      </c>
      <c r="C39" s="262">
        <f>SRFOPS!G$7</f>
        <v>0.091</v>
      </c>
      <c r="D39" s="245">
        <f>SRFOPS!I$7</f>
        <v>11.20471</v>
      </c>
      <c r="E39" s="245">
        <f>SRFOPS!H$11</f>
        <v>0</v>
      </c>
      <c r="F39" s="245">
        <f t="shared" si="10"/>
        <v>11.20471</v>
      </c>
      <c r="H39" s="245">
        <f>D39*J$2</f>
        <v>16.95272623</v>
      </c>
      <c r="I39" s="245">
        <f>E39*J$2</f>
        <v>0</v>
      </c>
      <c r="J39" s="245">
        <f t="shared" si="9"/>
        <v>16.95272623</v>
      </c>
      <c r="K39" s="245"/>
    </row>
    <row r="40" spans="1:11" ht="15">
      <c r="A40" s="244" t="s">
        <v>283</v>
      </c>
      <c r="B40" s="244" t="s">
        <v>278</v>
      </c>
      <c r="C40" s="262">
        <f>ACCCIS!B$20</f>
        <v>1.5454545454545452</v>
      </c>
      <c r="D40" s="245">
        <f>ACCCIS!M$18</f>
        <v>226.71935000000002</v>
      </c>
      <c r="E40" s="245">
        <f>ACCCIS!G$54</f>
        <v>381.834</v>
      </c>
      <c r="F40" s="245">
        <f t="shared" si="10"/>
        <v>608.55335</v>
      </c>
      <c r="H40" s="245">
        <f>D40*J$2</f>
        <v>343.02637655</v>
      </c>
      <c r="I40" s="245">
        <f>E40*J$2</f>
        <v>577.714842</v>
      </c>
      <c r="J40" s="245">
        <f t="shared" si="9"/>
        <v>920.74121855</v>
      </c>
      <c r="K40" s="245"/>
    </row>
    <row r="41" spans="1:11" ht="15">
      <c r="A41" s="237" t="s">
        <v>284</v>
      </c>
      <c r="B41" s="237" t="s">
        <v>274</v>
      </c>
      <c r="C41" s="436"/>
      <c r="D41" s="243"/>
      <c r="E41" s="243"/>
      <c r="F41" s="238"/>
      <c r="H41" s="238"/>
      <c r="I41" s="238"/>
      <c r="J41" s="238"/>
      <c r="K41" s="455"/>
    </row>
    <row r="42" spans="2:11" ht="15.75" thickBot="1">
      <c r="B42" s="98"/>
      <c r="C42" s="435"/>
      <c r="D42" s="270"/>
      <c r="E42" s="270"/>
      <c r="F42" s="270"/>
      <c r="H42" s="270"/>
      <c r="I42" s="270"/>
      <c r="J42" s="270"/>
      <c r="K42" s="63"/>
    </row>
    <row r="43" spans="2:11" ht="15">
      <c r="B43" s="33" t="s">
        <v>163</v>
      </c>
      <c r="C43" s="251">
        <f>SUM(C29:C41)</f>
        <v>7.920545454545454</v>
      </c>
      <c r="D43" s="249">
        <f>SUM(D29:D41)</f>
        <v>940.3858800075502</v>
      </c>
      <c r="E43" s="249">
        <f>SUM(E29:E41)</f>
        <v>881.3340000000001</v>
      </c>
      <c r="F43" s="249">
        <f>SUM(F29:F41)</f>
        <v>1821.7198800075503</v>
      </c>
      <c r="H43" s="249">
        <f>SUM(H29:H41)</f>
        <v>1422.8038364514236</v>
      </c>
      <c r="I43" s="249">
        <f>SUM(I29:I41)</f>
        <v>1333.458342</v>
      </c>
      <c r="J43" s="249">
        <f>SUM(J29:J41)</f>
        <v>2756.2621784514236</v>
      </c>
      <c r="K43" s="63"/>
    </row>
    <row r="44" spans="4:11" ht="32.25" customHeight="1">
      <c r="D44" s="242"/>
      <c r="E44" s="242"/>
      <c r="F44" s="242"/>
      <c r="H44" s="242"/>
      <c r="I44" s="242"/>
      <c r="J44" s="242"/>
      <c r="K44" s="63"/>
    </row>
    <row r="45" spans="1:11" ht="30">
      <c r="A45" s="293" t="s">
        <v>553</v>
      </c>
      <c r="B45" s="237"/>
      <c r="C45" s="264" t="s">
        <v>302</v>
      </c>
      <c r="D45" s="240" t="s">
        <v>140</v>
      </c>
      <c r="E45" s="240" t="s">
        <v>327</v>
      </c>
      <c r="F45" s="240" t="s">
        <v>163</v>
      </c>
      <c r="H45" s="240" t="s">
        <v>140</v>
      </c>
      <c r="I45" s="240" t="s">
        <v>327</v>
      </c>
      <c r="J45" s="240" t="s">
        <v>163</v>
      </c>
      <c r="K45" s="63"/>
    </row>
    <row r="46" spans="1:11" ht="15">
      <c r="A46" s="33" t="s">
        <v>554</v>
      </c>
      <c r="B46" s="240" t="s">
        <v>325</v>
      </c>
      <c r="C46" s="264">
        <f>3.534+0.136</f>
        <v>3.67</v>
      </c>
      <c r="D46" s="241">
        <f>445.353+17.184</f>
        <v>462.53700000000003</v>
      </c>
      <c r="E46" s="241">
        <f>357+121.951</f>
        <v>478.951</v>
      </c>
      <c r="F46" s="241">
        <f>SUM(D46:E46)</f>
        <v>941.488</v>
      </c>
      <c r="H46" s="241">
        <v>682.705</v>
      </c>
      <c r="I46" s="241">
        <v>671.232</v>
      </c>
      <c r="J46" s="241">
        <f>SUM(H46:I46)</f>
        <v>1353.937</v>
      </c>
      <c r="K46" s="63"/>
    </row>
    <row r="47" spans="2:11" ht="15">
      <c r="B47" s="240" t="s">
        <v>324</v>
      </c>
      <c r="C47" s="240">
        <f>2.227+0.273</f>
        <v>2.5</v>
      </c>
      <c r="D47" s="241">
        <f>278.035+34.045</f>
        <v>312.08000000000004</v>
      </c>
      <c r="E47" s="241">
        <f>409+148.097</f>
        <v>557.097</v>
      </c>
      <c r="F47" s="241">
        <f>SUM(D47:E47)</f>
        <v>869.177</v>
      </c>
      <c r="H47" s="241">
        <v>465</v>
      </c>
      <c r="I47" s="241">
        <v>830.074</v>
      </c>
      <c r="J47" s="241">
        <f>SUM(H47:I47)</f>
        <v>1295.074</v>
      </c>
      <c r="K47" s="63"/>
    </row>
    <row r="48" spans="2:11" ht="15.75" thickBot="1">
      <c r="B48" s="268" t="s">
        <v>326</v>
      </c>
      <c r="C48" s="268">
        <v>0</v>
      </c>
      <c r="D48" s="269">
        <v>0</v>
      </c>
      <c r="E48" s="269">
        <v>0</v>
      </c>
      <c r="F48" s="269">
        <f>SUM(D48:E48)</f>
        <v>0</v>
      </c>
      <c r="H48" s="269">
        <v>0</v>
      </c>
      <c r="I48" s="269">
        <v>0</v>
      </c>
      <c r="J48" s="269">
        <f>SUM(H48:I48)</f>
        <v>0</v>
      </c>
      <c r="K48" s="63"/>
    </row>
    <row r="49" spans="2:11" ht="15">
      <c r="B49" s="265" t="s">
        <v>163</v>
      </c>
      <c r="C49" s="266">
        <f>SUM(C46:C48)</f>
        <v>6.17</v>
      </c>
      <c r="D49" s="267">
        <f>SUM(D46:D48)</f>
        <v>774.6170000000001</v>
      </c>
      <c r="E49" s="267">
        <f aca="true" t="shared" si="11" ref="E49:F49">SUM(E46:E48)</f>
        <v>1036.048</v>
      </c>
      <c r="F49" s="267">
        <f t="shared" si="11"/>
        <v>1810.665</v>
      </c>
      <c r="H49" s="267">
        <f>I43</f>
        <v>1333.458342</v>
      </c>
      <c r="I49" s="267">
        <f aca="true" t="shared" si="12" ref="I49:J49">SUM(I46:I48)</f>
        <v>1501.306</v>
      </c>
      <c r="J49" s="267">
        <f t="shared" si="12"/>
        <v>2649.011</v>
      </c>
      <c r="K49" s="63"/>
    </row>
    <row r="50" ht="15">
      <c r="K50" s="63"/>
    </row>
    <row r="51" ht="15">
      <c r="K51" s="63"/>
    </row>
    <row r="52" spans="1:11" ht="15">
      <c r="A52" s="33" t="s">
        <v>353</v>
      </c>
      <c r="B52" s="237"/>
      <c r="C52" s="264" t="s">
        <v>302</v>
      </c>
      <c r="D52" s="240" t="s">
        <v>140</v>
      </c>
      <c r="E52" s="240" t="s">
        <v>327</v>
      </c>
      <c r="F52" s="240" t="s">
        <v>163</v>
      </c>
      <c r="H52" s="240" t="s">
        <v>140</v>
      </c>
      <c r="I52" s="240" t="s">
        <v>327</v>
      </c>
      <c r="J52" s="240" t="s">
        <v>163</v>
      </c>
      <c r="K52" s="63"/>
    </row>
    <row r="53" spans="1:11" ht="15">
      <c r="A53" s="33" t="s">
        <v>551</v>
      </c>
      <c r="B53" s="240" t="s">
        <v>325</v>
      </c>
      <c r="C53" s="264">
        <f>C7</f>
        <v>1.22</v>
      </c>
      <c r="D53" s="241">
        <v>160.322</v>
      </c>
      <c r="E53" s="241">
        <v>189.48</v>
      </c>
      <c r="F53" s="241">
        <f>SUM(D53:E53)</f>
        <v>349.802</v>
      </c>
      <c r="H53" s="241">
        <f>H7</f>
        <v>233.08166417600003</v>
      </c>
      <c r="I53" s="241">
        <f>I7</f>
        <v>274.29271151999995</v>
      </c>
      <c r="J53" s="241">
        <f>SUM(H53:I53)</f>
        <v>507.374375696</v>
      </c>
      <c r="K53" s="449">
        <v>0.476</v>
      </c>
    </row>
    <row r="54" spans="1:11" ht="15">
      <c r="A54" s="33" t="s">
        <v>552</v>
      </c>
      <c r="B54" s="240" t="s">
        <v>324</v>
      </c>
      <c r="C54" s="264">
        <f>C25</f>
        <v>8.577909090909092</v>
      </c>
      <c r="D54" s="241">
        <f>D25</f>
        <v>937.365</v>
      </c>
      <c r="E54" s="241">
        <f>E25</f>
        <v>611.1665</v>
      </c>
      <c r="F54" s="241">
        <f>SUM(D54:E54)</f>
        <v>1548.5315</v>
      </c>
      <c r="H54" s="241">
        <f>H25</f>
        <v>1396.67385</v>
      </c>
      <c r="I54" s="241">
        <f>I25</f>
        <v>907.950435</v>
      </c>
      <c r="J54" s="241">
        <f>SUM(H54:I54)</f>
        <v>2304.624285</v>
      </c>
      <c r="K54" s="449">
        <v>0.49</v>
      </c>
    </row>
    <row r="55" spans="2:11" ht="15.75" thickBot="1">
      <c r="B55" s="268" t="s">
        <v>326</v>
      </c>
      <c r="C55" s="363">
        <f>C43</f>
        <v>7.920545454545454</v>
      </c>
      <c r="D55" s="269">
        <f>D43</f>
        <v>940.3858800075502</v>
      </c>
      <c r="E55" s="269">
        <f>E43</f>
        <v>881.3340000000001</v>
      </c>
      <c r="F55" s="269">
        <f>SUM(D55:E55)</f>
        <v>1821.7198800075503</v>
      </c>
      <c r="H55" s="269">
        <f>H43</f>
        <v>1422.8038364514236</v>
      </c>
      <c r="I55" s="269">
        <f>I43</f>
        <v>1333.458342</v>
      </c>
      <c r="J55" s="269">
        <f>SUM(H55:I55)</f>
        <v>2756.2621784514236</v>
      </c>
      <c r="K55" s="450">
        <v>0.513</v>
      </c>
    </row>
    <row r="56" spans="2:11" ht="15">
      <c r="B56" s="265" t="s">
        <v>163</v>
      </c>
      <c r="C56" s="266">
        <f>SUM(C53:C55)</f>
        <v>17.71845454545455</v>
      </c>
      <c r="D56" s="267">
        <f>SUM(D53:D55)</f>
        <v>2038.07288000755</v>
      </c>
      <c r="E56" s="267">
        <f>SUM(E53:E55)</f>
        <v>1681.9805000000001</v>
      </c>
      <c r="F56" s="267">
        <f>SUM(D56:E56)</f>
        <v>3720.05338000755</v>
      </c>
      <c r="H56" s="267">
        <f>SUM(H53:H55)</f>
        <v>3052.5593506274236</v>
      </c>
      <c r="I56" s="267">
        <f>SUM(I53:I55)</f>
        <v>2515.7014885199997</v>
      </c>
      <c r="J56" s="267">
        <f>SUM(H56:I56)</f>
        <v>5568.260839147423</v>
      </c>
      <c r="K56" s="63"/>
    </row>
    <row r="57" ht="15">
      <c r="K57" s="63"/>
    </row>
    <row r="58" spans="1:11" ht="15">
      <c r="A58" s="33" t="s">
        <v>388</v>
      </c>
      <c r="C58" s="296">
        <f aca="true" t="shared" si="13" ref="C58:I58">C49-C56</f>
        <v>-11.548454545454549</v>
      </c>
      <c r="D58" s="295">
        <f t="shared" si="13"/>
        <v>-1263.4558800075501</v>
      </c>
      <c r="E58" s="295">
        <f t="shared" si="13"/>
        <v>-645.9325000000001</v>
      </c>
      <c r="F58" s="295">
        <f t="shared" si="13"/>
        <v>-1909.38838000755</v>
      </c>
      <c r="G58" s="295">
        <f t="shared" si="13"/>
        <v>0</v>
      </c>
      <c r="H58" s="295">
        <f t="shared" si="13"/>
        <v>-1719.1010086274237</v>
      </c>
      <c r="I58" s="295">
        <f t="shared" si="13"/>
        <v>-1014.3954885199996</v>
      </c>
      <c r="J58" s="295">
        <f>J49-J56</f>
        <v>-2919.2498391474232</v>
      </c>
      <c r="K58" s="63"/>
    </row>
    <row r="59" spans="1:10" ht="15">
      <c r="A59" s="33"/>
      <c r="J59" s="295"/>
    </row>
    <row r="60" spans="1:10" ht="15">
      <c r="A60" s="33" t="s">
        <v>555</v>
      </c>
      <c r="J60" s="295"/>
    </row>
    <row r="61" spans="1:10" ht="15">
      <c r="A61" s="33" t="s">
        <v>556</v>
      </c>
      <c r="J61" s="295"/>
    </row>
    <row r="62" spans="1:10" ht="15">
      <c r="A62" s="33"/>
      <c r="J62" s="295"/>
    </row>
    <row r="63" ht="15">
      <c r="A63" s="273" t="s">
        <v>362</v>
      </c>
    </row>
    <row r="64" spans="1:2" ht="15">
      <c r="A64" s="272" t="s">
        <v>549</v>
      </c>
      <c r="B64" s="272"/>
    </row>
    <row r="65" spans="1:2" ht="15">
      <c r="A65" s="48" t="s">
        <v>550</v>
      </c>
      <c r="B65" s="48"/>
    </row>
    <row r="67" ht="15">
      <c r="B67" s="40">
        <v>2334.94888</v>
      </c>
    </row>
    <row r="68" ht="15">
      <c r="B68" s="81">
        <v>227.66</v>
      </c>
    </row>
    <row r="69" ht="15">
      <c r="B69" s="40">
        <f>B67-B68</f>
        <v>2107.28888</v>
      </c>
    </row>
  </sheetData>
  <mergeCells count="2">
    <mergeCell ref="D5:F5"/>
    <mergeCell ref="H5:J5"/>
  </mergeCells>
  <printOptions/>
  <pageMargins left="0.25" right="0.25" top="0.25" bottom="0.5" header="0.3" footer="0.3"/>
  <pageSetup fitToHeight="1" fitToWidth="1" horizontalDpi="600" verticalDpi="600" orientation="portrait" scale="81" r:id="rId3"/>
  <headerFooter>
    <oddHeader>&amp;C&amp;"-,Bold"&amp;12Upgrade Injector Test Facilty Estimate as of 4-29-15</oddHeader>
    <oddFooter>&amp;L&amp;8&amp;Z&amp;F,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4"/>
  <sheetViews>
    <sheetView workbookViewId="0" topLeftCell="A1">
      <selection activeCell="I6" sqref="I6"/>
    </sheetView>
  </sheetViews>
  <sheetFormatPr defaultColWidth="9.140625" defaultRowHeight="15"/>
  <cols>
    <col min="2" max="2" width="7.8515625" style="0" customWidth="1"/>
    <col min="3" max="3" width="29.421875" style="0" bestFit="1" customWidth="1"/>
    <col min="5" max="5" width="21.421875" style="0" bestFit="1" customWidth="1"/>
    <col min="7" max="7" width="11.140625" style="0" bestFit="1" customWidth="1"/>
    <col min="8" max="9" width="10.00390625" style="0" bestFit="1" customWidth="1"/>
  </cols>
  <sheetData>
    <row r="4" spans="3:8" ht="15">
      <c r="C4" s="40"/>
      <c r="D4" s="40"/>
      <c r="E4" s="40"/>
      <c r="F4" s="40"/>
      <c r="G4" s="40"/>
      <c r="H4" s="40"/>
    </row>
    <row r="5" spans="2:8" ht="15">
      <c r="B5" s="40">
        <v>1.0175</v>
      </c>
      <c r="C5" s="40"/>
      <c r="D5" s="40"/>
      <c r="E5" s="40"/>
      <c r="F5" s="40"/>
      <c r="G5" s="40"/>
      <c r="H5" s="40"/>
    </row>
    <row r="6" spans="1:9" ht="45">
      <c r="A6" s="311" t="s">
        <v>463</v>
      </c>
      <c r="B6" s="311" t="s">
        <v>464</v>
      </c>
      <c r="C6" s="193" t="s">
        <v>299</v>
      </c>
      <c r="D6" s="193" t="s">
        <v>300</v>
      </c>
      <c r="E6" s="193" t="s">
        <v>301</v>
      </c>
      <c r="F6" s="193" t="s">
        <v>135</v>
      </c>
      <c r="G6" s="193" t="s">
        <v>302</v>
      </c>
      <c r="H6" s="193" t="s">
        <v>465</v>
      </c>
      <c r="I6" s="193" t="s">
        <v>465</v>
      </c>
    </row>
    <row r="7" spans="1:10" ht="15">
      <c r="A7" s="188">
        <v>2.148</v>
      </c>
      <c r="B7" s="222">
        <f>A7*B$5</f>
        <v>2.1855900000000004</v>
      </c>
      <c r="C7" s="40" t="s">
        <v>435</v>
      </c>
      <c r="D7" s="40" t="s">
        <v>340</v>
      </c>
      <c r="E7" s="40" t="s">
        <v>338</v>
      </c>
      <c r="F7" s="40">
        <v>6</v>
      </c>
      <c r="G7" s="60">
        <f>F7/44</f>
        <v>0.13636363636363635</v>
      </c>
      <c r="H7" s="188">
        <v>12.888</v>
      </c>
      <c r="I7" s="349">
        <f>B7*F7</f>
        <v>13.113540000000002</v>
      </c>
      <c r="J7" t="s">
        <v>448</v>
      </c>
    </row>
    <row r="8" spans="1:9" ht="15">
      <c r="A8" s="188">
        <v>3.697</v>
      </c>
      <c r="B8" s="222">
        <f aca="true" t="shared" si="0" ref="B8:B13">A8*B$5</f>
        <v>3.7616975000000004</v>
      </c>
      <c r="C8" s="40" t="s">
        <v>436</v>
      </c>
      <c r="D8" s="40" t="s">
        <v>340</v>
      </c>
      <c r="E8" s="40" t="s">
        <v>337</v>
      </c>
      <c r="F8" s="40">
        <v>11</v>
      </c>
      <c r="G8" s="40">
        <f aca="true" t="shared" si="1" ref="G8:G11">F8/44</f>
        <v>0.25</v>
      </c>
      <c r="H8" s="188">
        <v>40.672</v>
      </c>
      <c r="I8" s="349">
        <f aca="true" t="shared" si="2" ref="I8:I13">B8*F8</f>
        <v>41.37867250000001</v>
      </c>
    </row>
    <row r="9" spans="1:9" s="40" customFormat="1" ht="15">
      <c r="A9" s="188">
        <v>2.389</v>
      </c>
      <c r="B9" s="222">
        <f t="shared" si="0"/>
        <v>2.4308075</v>
      </c>
      <c r="C9" s="40" t="s">
        <v>437</v>
      </c>
      <c r="D9" s="40" t="s">
        <v>340</v>
      </c>
      <c r="E9" s="40" t="s">
        <v>431</v>
      </c>
      <c r="F9" s="40">
        <v>11</v>
      </c>
      <c r="G9" s="40">
        <f t="shared" si="1"/>
        <v>0.25</v>
      </c>
      <c r="H9" s="188">
        <v>26.281</v>
      </c>
      <c r="I9" s="349">
        <f t="shared" si="2"/>
        <v>26.7388825</v>
      </c>
    </row>
    <row r="10" spans="1:9" s="40" customFormat="1" ht="15">
      <c r="A10" s="188">
        <v>3.435</v>
      </c>
      <c r="B10" s="222">
        <f t="shared" si="0"/>
        <v>3.4951125000000003</v>
      </c>
      <c r="C10" s="40" t="s">
        <v>438</v>
      </c>
      <c r="D10" s="40" t="s">
        <v>340</v>
      </c>
      <c r="E10" s="40" t="s">
        <v>432</v>
      </c>
      <c r="F10" s="40">
        <v>11</v>
      </c>
      <c r="G10" s="40">
        <f t="shared" si="1"/>
        <v>0.25</v>
      </c>
      <c r="H10" s="188">
        <v>37.783</v>
      </c>
      <c r="I10" s="349">
        <f t="shared" si="2"/>
        <v>38.4462375</v>
      </c>
    </row>
    <row r="11" spans="1:9" s="40" customFormat="1" ht="15">
      <c r="A11" s="188">
        <v>2.389</v>
      </c>
      <c r="B11" s="222">
        <f t="shared" si="0"/>
        <v>2.4308075</v>
      </c>
      <c r="C11" s="40" t="s">
        <v>437</v>
      </c>
      <c r="D11" s="40" t="s">
        <v>340</v>
      </c>
      <c r="E11" s="40" t="s">
        <v>433</v>
      </c>
      <c r="F11" s="40">
        <v>11</v>
      </c>
      <c r="G11" s="40">
        <f t="shared" si="1"/>
        <v>0.25</v>
      </c>
      <c r="H11" s="188">
        <v>26.281</v>
      </c>
      <c r="I11" s="349">
        <f t="shared" si="2"/>
        <v>26.7388825</v>
      </c>
    </row>
    <row r="12" spans="1:9" s="40" customFormat="1" ht="15">
      <c r="A12" s="188">
        <v>3.551</v>
      </c>
      <c r="B12" s="222">
        <f t="shared" si="0"/>
        <v>3.6131425000000004</v>
      </c>
      <c r="C12" s="40" t="s">
        <v>439</v>
      </c>
      <c r="D12" s="40" t="s">
        <v>340</v>
      </c>
      <c r="E12" s="40" t="s">
        <v>339</v>
      </c>
      <c r="F12" s="41">
        <v>11</v>
      </c>
      <c r="G12" s="41">
        <f>F12/44</f>
        <v>0.25</v>
      </c>
      <c r="H12" s="318">
        <v>39.062</v>
      </c>
      <c r="I12" s="349">
        <f t="shared" si="2"/>
        <v>39.7445675</v>
      </c>
    </row>
    <row r="13" spans="1:9" ht="15">
      <c r="A13" s="188">
        <v>2.389</v>
      </c>
      <c r="B13" s="222">
        <f t="shared" si="0"/>
        <v>2.4308075</v>
      </c>
      <c r="C13" t="s">
        <v>447</v>
      </c>
      <c r="D13" t="s">
        <v>340</v>
      </c>
      <c r="E13" t="s">
        <v>446</v>
      </c>
      <c r="F13" s="81">
        <v>5</v>
      </c>
      <c r="G13" s="315">
        <f>F13/44</f>
        <v>0.11363636363636363</v>
      </c>
      <c r="H13" s="260">
        <v>11.946</v>
      </c>
      <c r="I13" s="348">
        <f t="shared" si="2"/>
        <v>12.1540375</v>
      </c>
    </row>
    <row r="14" spans="2:9" ht="15">
      <c r="B14" s="40"/>
      <c r="C14" s="40"/>
      <c r="D14" s="40"/>
      <c r="E14" s="40"/>
      <c r="F14" s="33">
        <f>SUM(F7:F13)</f>
        <v>66</v>
      </c>
      <c r="G14" s="312">
        <f>SUM(G7:G13)</f>
        <v>1.4999999999999998</v>
      </c>
      <c r="H14" s="320">
        <f>SUM(H7:H13)</f>
        <v>194.91299999999998</v>
      </c>
      <c r="I14" s="222">
        <f>SUM(I7:I13)</f>
        <v>198.31481999999997</v>
      </c>
    </row>
    <row r="15" spans="2:8" ht="15">
      <c r="B15" s="33" t="s">
        <v>304</v>
      </c>
      <c r="C15" s="40"/>
      <c r="D15" s="40"/>
      <c r="E15" s="40"/>
      <c r="F15" s="40"/>
      <c r="G15" s="40"/>
      <c r="H15" s="188"/>
    </row>
    <row r="16" spans="2:8" ht="15">
      <c r="B16" s="40"/>
      <c r="C16" s="40"/>
      <c r="D16" s="40"/>
      <c r="E16" s="40"/>
      <c r="F16" s="40"/>
      <c r="G16" s="40"/>
      <c r="H16" s="188"/>
    </row>
    <row r="17" spans="2:8" ht="15">
      <c r="B17" s="40"/>
      <c r="C17" s="40"/>
      <c r="D17" s="40"/>
      <c r="E17" s="40" t="s">
        <v>306</v>
      </c>
      <c r="F17" s="40"/>
      <c r="G17" s="40"/>
      <c r="H17" s="326">
        <v>0</v>
      </c>
    </row>
    <row r="18" spans="2:8" ht="15">
      <c r="B18" s="40"/>
      <c r="C18" s="40"/>
      <c r="D18" s="40"/>
      <c r="E18" s="40"/>
      <c r="F18" s="40"/>
      <c r="G18" s="40"/>
      <c r="H18" s="188"/>
    </row>
    <row r="19" spans="2:8" ht="15">
      <c r="B19" s="40"/>
      <c r="C19" s="40"/>
      <c r="D19" s="40"/>
      <c r="E19" s="40"/>
      <c r="F19" s="40"/>
      <c r="G19" s="40"/>
      <c r="H19" s="188"/>
    </row>
    <row r="20" spans="2:8" ht="15">
      <c r="B20" s="40"/>
      <c r="C20" s="40"/>
      <c r="D20" s="40"/>
      <c r="E20" s="40"/>
      <c r="F20" s="40"/>
      <c r="G20" s="40"/>
      <c r="H20" s="188"/>
    </row>
    <row r="21" spans="2:8" ht="15">
      <c r="B21" s="40"/>
      <c r="C21" s="40"/>
      <c r="D21" s="40"/>
      <c r="E21" s="40"/>
      <c r="F21" s="40"/>
      <c r="G21" s="33" t="s">
        <v>305</v>
      </c>
      <c r="H21" s="317">
        <f>SUM(H14+H17)</f>
        <v>194.91299999999998</v>
      </c>
    </row>
    <row r="44" ht="15">
      <c r="D44" s="6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 topLeftCell="A16">
      <selection activeCell="G52" sqref="G52"/>
    </sheetView>
  </sheetViews>
  <sheetFormatPr defaultColWidth="8.8515625" defaultRowHeight="15"/>
  <cols>
    <col min="1" max="1" width="34.28125" style="40" customWidth="1"/>
    <col min="2" max="2" width="8.00390625" style="40" customWidth="1"/>
    <col min="3" max="3" width="8.8515625" style="40" customWidth="1"/>
    <col min="4" max="4" width="12.00390625" style="40" bestFit="1" customWidth="1"/>
    <col min="5" max="5" width="13.28125" style="40" customWidth="1"/>
    <col min="6" max="6" width="10.140625" style="40" customWidth="1"/>
    <col min="7" max="7" width="10.00390625" style="40" bestFit="1" customWidth="1"/>
    <col min="8" max="8" width="23.00390625" style="40" bestFit="1" customWidth="1"/>
    <col min="9" max="9" width="8.8515625" style="40" customWidth="1"/>
    <col min="10" max="10" width="12.57421875" style="40" bestFit="1" customWidth="1"/>
    <col min="11" max="11" width="26.7109375" style="40" bestFit="1" customWidth="1"/>
    <col min="12" max="13" width="10.00390625" style="40" bestFit="1" customWidth="1"/>
    <col min="14" max="16384" width="8.8515625" style="40" customWidth="1"/>
  </cols>
  <sheetData>
    <row r="1" spans="1:10" ht="23.25">
      <c r="A1" s="465" t="s">
        <v>429</v>
      </c>
      <c r="B1" s="466"/>
      <c r="C1" s="466"/>
      <c r="D1" s="466"/>
      <c r="E1" s="466"/>
      <c r="F1" s="466"/>
      <c r="G1" s="466"/>
      <c r="J1" s="40">
        <v>1.0175</v>
      </c>
    </row>
    <row r="2" spans="1:13" ht="45" customHeight="1">
      <c r="A2" s="8" t="s">
        <v>0</v>
      </c>
      <c r="B2" s="130"/>
      <c r="C2" s="3"/>
      <c r="D2" s="470" t="s">
        <v>428</v>
      </c>
      <c r="E2" s="471"/>
      <c r="F2" s="471"/>
      <c r="G2" s="471"/>
      <c r="H2" s="313"/>
      <c r="I2" s="313" t="s">
        <v>459</v>
      </c>
      <c r="J2" s="313" t="s">
        <v>460</v>
      </c>
      <c r="K2" s="313" t="s">
        <v>444</v>
      </c>
      <c r="L2" s="313" t="s">
        <v>461</v>
      </c>
      <c r="M2" s="313" t="s">
        <v>462</v>
      </c>
    </row>
    <row r="3" spans="1:13" ht="15">
      <c r="A3" s="9"/>
      <c r="B3" s="135" t="s">
        <v>302</v>
      </c>
      <c r="C3" s="4" t="s">
        <v>440</v>
      </c>
      <c r="D3" s="5" t="s">
        <v>427</v>
      </c>
      <c r="E3" s="5" t="s">
        <v>426</v>
      </c>
      <c r="F3" s="5" t="s">
        <v>425</v>
      </c>
      <c r="G3" s="5"/>
      <c r="H3" s="313" t="s">
        <v>301</v>
      </c>
      <c r="I3" s="313" t="s">
        <v>443</v>
      </c>
      <c r="J3" s="313" t="s">
        <v>443</v>
      </c>
      <c r="K3" s="313" t="s">
        <v>445</v>
      </c>
      <c r="L3" s="313" t="s">
        <v>163</v>
      </c>
      <c r="M3" s="313" t="s">
        <v>163</v>
      </c>
    </row>
    <row r="4" spans="1:13" ht="15">
      <c r="A4" s="41" t="s">
        <v>424</v>
      </c>
      <c r="B4" s="306">
        <f>C4/44</f>
        <v>0.045454545454545456</v>
      </c>
      <c r="C4" s="305">
        <f>SUM(D4:G4)</f>
        <v>2</v>
      </c>
      <c r="D4" s="304"/>
      <c r="E4" s="304"/>
      <c r="F4" s="304">
        <v>2</v>
      </c>
      <c r="G4" s="42"/>
      <c r="H4" s="40" t="s">
        <v>349</v>
      </c>
      <c r="I4" s="319">
        <v>2.708</v>
      </c>
      <c r="J4" s="319">
        <f>I4*J$1</f>
        <v>2.7553900000000002</v>
      </c>
      <c r="K4" s="40" t="s">
        <v>441</v>
      </c>
      <c r="L4" s="188">
        <v>59.572</v>
      </c>
      <c r="M4" s="222">
        <f>J4*C4</f>
        <v>5.5107800000000005</v>
      </c>
    </row>
    <row r="5" spans="1:13" ht="15">
      <c r="A5" s="41" t="s">
        <v>423</v>
      </c>
      <c r="B5" s="306">
        <f aca="true" t="shared" si="0" ref="B5:B17">C5/44</f>
        <v>0.18181818181818182</v>
      </c>
      <c r="C5" s="305">
        <f>SUM(D5:G5)</f>
        <v>8</v>
      </c>
      <c r="D5" s="303"/>
      <c r="E5" s="304"/>
      <c r="F5" s="304">
        <v>8</v>
      </c>
      <c r="G5" s="42"/>
      <c r="H5" s="40" t="s">
        <v>349</v>
      </c>
      <c r="I5" s="319">
        <v>2.708</v>
      </c>
      <c r="J5" s="319">
        <f aca="true" t="shared" si="1" ref="J5:J17">I5*J$1</f>
        <v>2.7553900000000002</v>
      </c>
      <c r="L5" s="188"/>
      <c r="M5" s="222">
        <f aca="true" t="shared" si="2" ref="M5:M17">J5*C5</f>
        <v>22.043120000000002</v>
      </c>
    </row>
    <row r="6" spans="1:13" ht="15">
      <c r="A6" s="41" t="s">
        <v>422</v>
      </c>
      <c r="B6" s="306">
        <f t="shared" si="0"/>
        <v>0.045454545454545456</v>
      </c>
      <c r="C6" s="305">
        <f>SUM(D6:G6)</f>
        <v>2</v>
      </c>
      <c r="D6" s="303"/>
      <c r="E6" s="304"/>
      <c r="F6" s="304">
        <v>2</v>
      </c>
      <c r="G6" s="42"/>
      <c r="H6" s="40" t="s">
        <v>349</v>
      </c>
      <c r="I6" s="319">
        <v>2.708</v>
      </c>
      <c r="J6" s="319">
        <f t="shared" si="1"/>
        <v>2.7553900000000002</v>
      </c>
      <c r="L6" s="188"/>
      <c r="M6" s="222">
        <f t="shared" si="2"/>
        <v>5.5107800000000005</v>
      </c>
    </row>
    <row r="7" spans="1:13" ht="15">
      <c r="A7" s="41" t="s">
        <v>421</v>
      </c>
      <c r="B7" s="306">
        <f t="shared" si="0"/>
        <v>0.18181818181818182</v>
      </c>
      <c r="C7" s="305">
        <f>SUM(D7:G7)</f>
        <v>8</v>
      </c>
      <c r="D7" s="303"/>
      <c r="E7" s="304"/>
      <c r="F7" s="304">
        <v>8</v>
      </c>
      <c r="G7" s="42"/>
      <c r="H7" s="40" t="s">
        <v>349</v>
      </c>
      <c r="I7" s="319">
        <v>2.708</v>
      </c>
      <c r="J7" s="319">
        <f t="shared" si="1"/>
        <v>2.7553900000000002</v>
      </c>
      <c r="L7" s="188"/>
      <c r="M7" s="222">
        <f t="shared" si="2"/>
        <v>22.043120000000002</v>
      </c>
    </row>
    <row r="8" spans="1:13" ht="15">
      <c r="A8" s="44" t="s">
        <v>420</v>
      </c>
      <c r="B8" s="306">
        <f t="shared" si="0"/>
        <v>0.2727272727272727</v>
      </c>
      <c r="C8" s="305">
        <f aca="true" t="shared" si="3" ref="C8:C9">SUM(D8:G8)</f>
        <v>12</v>
      </c>
      <c r="D8" s="303">
        <v>12</v>
      </c>
      <c r="E8" s="304"/>
      <c r="F8" s="304"/>
      <c r="G8" s="42"/>
      <c r="H8" s="40" t="s">
        <v>416</v>
      </c>
      <c r="I8" s="319">
        <v>3.482</v>
      </c>
      <c r="J8" s="319">
        <f t="shared" si="1"/>
        <v>3.5429350000000004</v>
      </c>
      <c r="K8" s="40" t="s">
        <v>442</v>
      </c>
      <c r="L8" s="188">
        <v>55.719</v>
      </c>
      <c r="M8" s="222">
        <f t="shared" si="2"/>
        <v>42.51522000000001</v>
      </c>
    </row>
    <row r="9" spans="1:13" ht="15">
      <c r="A9" s="44" t="s">
        <v>419</v>
      </c>
      <c r="B9" s="306">
        <f t="shared" si="0"/>
        <v>0.045454545454545456</v>
      </c>
      <c r="C9" s="305">
        <f t="shared" si="3"/>
        <v>2</v>
      </c>
      <c r="D9" s="303"/>
      <c r="E9" s="304"/>
      <c r="F9" s="304">
        <v>2</v>
      </c>
      <c r="G9" s="42"/>
      <c r="H9" s="40" t="s">
        <v>349</v>
      </c>
      <c r="I9" s="319">
        <v>2.708</v>
      </c>
      <c r="J9" s="319">
        <f t="shared" si="1"/>
        <v>2.7553900000000002</v>
      </c>
      <c r="L9" s="188"/>
      <c r="M9" s="222">
        <f t="shared" si="2"/>
        <v>5.5107800000000005</v>
      </c>
    </row>
    <row r="10" spans="1:13" ht="15">
      <c r="A10" s="41" t="s">
        <v>418</v>
      </c>
      <c r="B10" s="306">
        <f t="shared" si="0"/>
        <v>0.045454545454545456</v>
      </c>
      <c r="C10" s="305">
        <f aca="true" t="shared" si="4" ref="C10:C17">SUM(D10:G10)</f>
        <v>2</v>
      </c>
      <c r="D10" s="303"/>
      <c r="E10" s="304">
        <v>2</v>
      </c>
      <c r="F10" s="304"/>
      <c r="G10" s="42"/>
      <c r="H10" s="40" t="s">
        <v>350</v>
      </c>
      <c r="I10" s="319">
        <v>3.738</v>
      </c>
      <c r="J10" s="319">
        <f t="shared" si="1"/>
        <v>3.803415</v>
      </c>
      <c r="K10" s="40" t="s">
        <v>436</v>
      </c>
      <c r="L10" s="188">
        <v>44.854</v>
      </c>
      <c r="M10" s="222">
        <f t="shared" si="2"/>
        <v>7.60683</v>
      </c>
    </row>
    <row r="11" spans="1:13" ht="15">
      <c r="A11" s="41" t="s">
        <v>417</v>
      </c>
      <c r="B11" s="306">
        <f t="shared" si="0"/>
        <v>0.09090909090909091</v>
      </c>
      <c r="C11" s="305">
        <f t="shared" si="4"/>
        <v>4</v>
      </c>
      <c r="D11" s="303">
        <v>4</v>
      </c>
      <c r="E11" s="304"/>
      <c r="F11" s="304"/>
      <c r="G11" s="42"/>
      <c r="H11" s="40" t="s">
        <v>416</v>
      </c>
      <c r="I11" s="319">
        <v>3.482</v>
      </c>
      <c r="J11" s="319">
        <f t="shared" si="1"/>
        <v>3.5429350000000004</v>
      </c>
      <c r="L11" s="188"/>
      <c r="M11" s="222">
        <f t="shared" si="2"/>
        <v>14.171740000000002</v>
      </c>
    </row>
    <row r="12" spans="1:13" ht="15">
      <c r="A12" s="41" t="s">
        <v>415</v>
      </c>
      <c r="B12" s="306">
        <f t="shared" si="0"/>
        <v>0.09090909090909091</v>
      </c>
      <c r="C12" s="305">
        <f t="shared" si="4"/>
        <v>4</v>
      </c>
      <c r="D12" s="303"/>
      <c r="E12" s="304">
        <v>4</v>
      </c>
      <c r="F12" s="304"/>
      <c r="G12" s="42"/>
      <c r="H12" s="40" t="s">
        <v>350</v>
      </c>
      <c r="I12" s="319">
        <v>3.738</v>
      </c>
      <c r="J12" s="319">
        <f t="shared" si="1"/>
        <v>3.803415</v>
      </c>
      <c r="L12" s="188"/>
      <c r="M12" s="222">
        <f t="shared" si="2"/>
        <v>15.21366</v>
      </c>
    </row>
    <row r="13" spans="1:13" ht="15">
      <c r="A13" s="41" t="s">
        <v>414</v>
      </c>
      <c r="B13" s="306">
        <f t="shared" si="0"/>
        <v>0.045454545454545456</v>
      </c>
      <c r="C13" s="305">
        <f t="shared" si="4"/>
        <v>2</v>
      </c>
      <c r="D13" s="303"/>
      <c r="E13" s="304">
        <v>2</v>
      </c>
      <c r="F13" s="304"/>
      <c r="G13" s="42"/>
      <c r="H13" s="40" t="s">
        <v>350</v>
      </c>
      <c r="I13" s="319">
        <v>3.738</v>
      </c>
      <c r="J13" s="319">
        <f t="shared" si="1"/>
        <v>3.803415</v>
      </c>
      <c r="L13" s="188"/>
      <c r="M13" s="222">
        <f t="shared" si="2"/>
        <v>7.60683</v>
      </c>
    </row>
    <row r="14" spans="1:13" ht="15">
      <c r="A14" s="41" t="s">
        <v>413</v>
      </c>
      <c r="B14" s="306">
        <f t="shared" si="0"/>
        <v>0.09090909090909091</v>
      </c>
      <c r="C14" s="305">
        <f t="shared" si="4"/>
        <v>4</v>
      </c>
      <c r="D14" s="303"/>
      <c r="E14" s="304">
        <v>4</v>
      </c>
      <c r="F14" s="304"/>
      <c r="G14" s="42"/>
      <c r="H14" s="40" t="s">
        <v>350</v>
      </c>
      <c r="I14" s="319">
        <v>3.738</v>
      </c>
      <c r="J14" s="319">
        <f t="shared" si="1"/>
        <v>3.803415</v>
      </c>
      <c r="L14" s="188"/>
      <c r="M14" s="222">
        <f t="shared" si="2"/>
        <v>15.21366</v>
      </c>
    </row>
    <row r="15" spans="1:13" ht="15">
      <c r="A15" s="41" t="s">
        <v>412</v>
      </c>
      <c r="B15" s="306">
        <f t="shared" si="0"/>
        <v>0.09090909090909091</v>
      </c>
      <c r="C15" s="305">
        <f t="shared" si="4"/>
        <v>4</v>
      </c>
      <c r="D15" s="303">
        <v>4</v>
      </c>
      <c r="E15" s="304"/>
      <c r="F15" s="304"/>
      <c r="G15" s="42"/>
      <c r="H15" s="40" t="s">
        <v>409</v>
      </c>
      <c r="I15" s="319">
        <v>3.482</v>
      </c>
      <c r="J15" s="319">
        <f t="shared" si="1"/>
        <v>3.5429350000000004</v>
      </c>
      <c r="K15" s="40" t="s">
        <v>442</v>
      </c>
      <c r="L15" s="188">
        <v>62.684</v>
      </c>
      <c r="M15" s="222">
        <f t="shared" si="2"/>
        <v>14.171740000000002</v>
      </c>
    </row>
    <row r="16" spans="1:13" ht="15">
      <c r="A16" s="41" t="s">
        <v>411</v>
      </c>
      <c r="B16" s="306">
        <f t="shared" si="0"/>
        <v>0.09090909090909091</v>
      </c>
      <c r="C16" s="305">
        <f t="shared" si="4"/>
        <v>4</v>
      </c>
      <c r="D16" s="303">
        <v>4</v>
      </c>
      <c r="E16" s="304"/>
      <c r="F16" s="304"/>
      <c r="G16" s="42"/>
      <c r="H16" s="40" t="s">
        <v>409</v>
      </c>
      <c r="I16" s="319">
        <v>3.482</v>
      </c>
      <c r="J16" s="319">
        <f t="shared" si="1"/>
        <v>3.5429350000000004</v>
      </c>
      <c r="L16" s="188"/>
      <c r="M16" s="222">
        <f t="shared" si="2"/>
        <v>14.171740000000002</v>
      </c>
    </row>
    <row r="17" spans="1:13" ht="15">
      <c r="A17" s="41" t="s">
        <v>410</v>
      </c>
      <c r="B17" s="306">
        <f t="shared" si="0"/>
        <v>0.22727272727272727</v>
      </c>
      <c r="C17" s="305">
        <f t="shared" si="4"/>
        <v>10</v>
      </c>
      <c r="D17" s="303">
        <v>10</v>
      </c>
      <c r="E17" s="304"/>
      <c r="F17" s="304"/>
      <c r="G17" s="42"/>
      <c r="H17" s="40" t="s">
        <v>409</v>
      </c>
      <c r="I17" s="319">
        <v>3.482</v>
      </c>
      <c r="J17" s="319">
        <f t="shared" si="1"/>
        <v>3.5429350000000004</v>
      </c>
      <c r="L17" s="260"/>
      <c r="M17" s="348">
        <f t="shared" si="2"/>
        <v>35.42935000000001</v>
      </c>
    </row>
    <row r="18" spans="1:13" ht="15">
      <c r="A18" s="6"/>
      <c r="B18" s="306"/>
      <c r="C18" s="303"/>
      <c r="D18" s="303"/>
      <c r="E18" s="303"/>
      <c r="F18" s="303"/>
      <c r="G18" s="41"/>
      <c r="L18" s="358">
        <f>SUM(L4:L17)</f>
        <v>222.82899999999998</v>
      </c>
      <c r="M18" s="351">
        <f>SUM(M4:M17)</f>
        <v>226.71935000000002</v>
      </c>
    </row>
    <row r="19" spans="1:7" ht="15.75" thickBot="1">
      <c r="A19" s="14"/>
      <c r="B19" s="302"/>
      <c r="C19" s="302"/>
      <c r="D19" s="302"/>
      <c r="E19" s="302"/>
      <c r="F19" s="302"/>
      <c r="G19" s="15"/>
    </row>
    <row r="20" spans="1:6" ht="15">
      <c r="A20" s="44" t="s">
        <v>408</v>
      </c>
      <c r="B20" s="307">
        <f>SUM(B4:B19)</f>
        <v>1.5454545454545452</v>
      </c>
      <c r="C20" s="40">
        <f>SUM(C4:C19)</f>
        <v>68</v>
      </c>
      <c r="D20" s="40">
        <f>SUM(D4:D19)</f>
        <v>34</v>
      </c>
      <c r="E20" s="40">
        <f>SUM(E4:E19)</f>
        <v>12</v>
      </c>
      <c r="F20" s="40">
        <f>SUM(F4:F19)</f>
        <v>22</v>
      </c>
    </row>
    <row r="22" spans="1:7" ht="15">
      <c r="A22" s="8"/>
      <c r="B22" s="130"/>
      <c r="C22" s="3"/>
      <c r="D22" s="297" t="s">
        <v>407</v>
      </c>
      <c r="E22" s="298"/>
      <c r="F22" s="298"/>
      <c r="G22" s="298"/>
    </row>
    <row r="23" spans="1:7" ht="15">
      <c r="A23" s="9"/>
      <c r="B23" s="135"/>
      <c r="C23" s="4" t="s">
        <v>406</v>
      </c>
      <c r="D23" s="5" t="s">
        <v>405</v>
      </c>
      <c r="E23" s="5" t="s">
        <v>404</v>
      </c>
      <c r="F23" s="5" t="s">
        <v>403</v>
      </c>
      <c r="G23" s="5" t="s">
        <v>402</v>
      </c>
    </row>
    <row r="24" spans="1:7" ht="15">
      <c r="A24" s="40" t="s">
        <v>96</v>
      </c>
      <c r="C24" s="300">
        <v>8</v>
      </c>
      <c r="D24" s="301">
        <v>4</v>
      </c>
      <c r="E24" s="301">
        <v>4</v>
      </c>
      <c r="F24" s="301">
        <v>15</v>
      </c>
      <c r="G24" s="321">
        <f>E24*F24</f>
        <v>60</v>
      </c>
    </row>
    <row r="25" spans="1:7" ht="15">
      <c r="A25" s="437" t="s">
        <v>99</v>
      </c>
      <c r="B25" s="437"/>
      <c r="C25" s="438">
        <v>14</v>
      </c>
      <c r="D25" s="439">
        <v>6</v>
      </c>
      <c r="E25" s="439">
        <v>8</v>
      </c>
      <c r="F25" s="440">
        <v>2</v>
      </c>
      <c r="G25" s="441">
        <v>16</v>
      </c>
    </row>
    <row r="26" spans="1:7" ht="15">
      <c r="A26" s="40" t="s">
        <v>100</v>
      </c>
      <c r="C26" s="300">
        <v>20</v>
      </c>
      <c r="D26" s="301">
        <v>16</v>
      </c>
      <c r="E26" s="301">
        <v>4</v>
      </c>
      <c r="F26" s="299">
        <v>2</v>
      </c>
      <c r="G26" s="322">
        <v>8</v>
      </c>
    </row>
    <row r="27" spans="1:7" ht="15">
      <c r="A27" s="40" t="s">
        <v>101</v>
      </c>
      <c r="C27" s="300">
        <v>20</v>
      </c>
      <c r="D27" s="301">
        <v>20</v>
      </c>
      <c r="E27" s="301"/>
      <c r="F27" s="299">
        <v>4</v>
      </c>
      <c r="G27" s="322">
        <v>4</v>
      </c>
    </row>
    <row r="28" spans="1:7" ht="15">
      <c r="A28" s="40" t="s">
        <v>401</v>
      </c>
      <c r="C28" s="300">
        <v>3</v>
      </c>
      <c r="D28" s="299">
        <v>2</v>
      </c>
      <c r="E28" s="299">
        <v>1</v>
      </c>
      <c r="F28" s="299">
        <v>4</v>
      </c>
      <c r="G28" s="322">
        <v>4</v>
      </c>
    </row>
    <row r="29" spans="1:7" ht="15">
      <c r="A29" s="40" t="s">
        <v>103</v>
      </c>
      <c r="C29" s="300">
        <v>3</v>
      </c>
      <c r="D29" s="299">
        <v>2</v>
      </c>
      <c r="E29" s="299">
        <v>1</v>
      </c>
      <c r="F29" s="301">
        <v>4</v>
      </c>
      <c r="G29" s="322">
        <v>4</v>
      </c>
    </row>
    <row r="30" spans="1:7" ht="15">
      <c r="A30" s="40" t="s">
        <v>104</v>
      </c>
      <c r="C30" s="300">
        <v>4</v>
      </c>
      <c r="D30" s="299">
        <v>2</v>
      </c>
      <c r="E30" s="299">
        <v>2</v>
      </c>
      <c r="F30" s="299">
        <v>2</v>
      </c>
      <c r="G30" s="322">
        <v>4</v>
      </c>
    </row>
    <row r="31" spans="1:7" ht="15">
      <c r="A31" s="40" t="s">
        <v>105</v>
      </c>
      <c r="C31" s="300">
        <v>5</v>
      </c>
      <c r="D31" s="299">
        <v>3</v>
      </c>
      <c r="E31" s="299">
        <v>2</v>
      </c>
      <c r="F31" s="299">
        <v>2</v>
      </c>
      <c r="G31" s="322">
        <v>4</v>
      </c>
    </row>
    <row r="32" spans="1:7" ht="15">
      <c r="A32" s="40" t="s">
        <v>106</v>
      </c>
      <c r="C32" s="300">
        <v>6</v>
      </c>
      <c r="D32" s="299">
        <v>4</v>
      </c>
      <c r="E32" s="299">
        <v>2</v>
      </c>
      <c r="F32" s="299">
        <v>3</v>
      </c>
      <c r="G32" s="322">
        <v>6</v>
      </c>
    </row>
    <row r="33" spans="1:7" ht="15">
      <c r="A33" s="437" t="s">
        <v>107</v>
      </c>
      <c r="B33" s="437"/>
      <c r="C33" s="438">
        <v>17</v>
      </c>
      <c r="D33" s="440">
        <v>0</v>
      </c>
      <c r="E33" s="440">
        <v>17</v>
      </c>
      <c r="F33" s="440">
        <v>2</v>
      </c>
      <c r="G33" s="441">
        <v>42.5</v>
      </c>
    </row>
    <row r="34" spans="1:7" ht="15">
      <c r="A34" s="437" t="s">
        <v>108</v>
      </c>
      <c r="B34" s="437"/>
      <c r="C34" s="438">
        <v>2</v>
      </c>
      <c r="D34" s="440">
        <v>1</v>
      </c>
      <c r="E34" s="440">
        <v>1</v>
      </c>
      <c r="F34" s="440">
        <v>5</v>
      </c>
      <c r="G34" s="441">
        <v>5</v>
      </c>
    </row>
    <row r="35" spans="1:7" ht="15">
      <c r="A35" s="40" t="s">
        <v>109</v>
      </c>
      <c r="C35" s="300">
        <v>1</v>
      </c>
      <c r="D35" s="299">
        <v>1</v>
      </c>
      <c r="E35" s="299">
        <v>0</v>
      </c>
      <c r="F35" s="301"/>
      <c r="G35" s="322">
        <v>0</v>
      </c>
    </row>
    <row r="36" spans="1:7" ht="15">
      <c r="A36" s="40" t="s">
        <v>110</v>
      </c>
      <c r="C36" s="300">
        <v>1</v>
      </c>
      <c r="D36" s="299">
        <v>1</v>
      </c>
      <c r="E36" s="299">
        <v>0</v>
      </c>
      <c r="F36" s="301"/>
      <c r="G36" s="322">
        <v>0</v>
      </c>
    </row>
    <row r="37" spans="1:7" ht="15">
      <c r="A37" s="40" t="s">
        <v>400</v>
      </c>
      <c r="C37" s="300">
        <v>4</v>
      </c>
      <c r="D37" s="299">
        <v>0</v>
      </c>
      <c r="E37" s="299">
        <v>4</v>
      </c>
      <c r="F37" s="299">
        <v>1</v>
      </c>
      <c r="G37" s="322">
        <v>4</v>
      </c>
    </row>
    <row r="38" spans="1:7" ht="15">
      <c r="A38" s="40" t="s">
        <v>399</v>
      </c>
      <c r="C38" s="300">
        <v>20</v>
      </c>
      <c r="D38" s="299">
        <v>8</v>
      </c>
      <c r="E38" s="299">
        <v>12</v>
      </c>
      <c r="F38" s="299">
        <v>2</v>
      </c>
      <c r="G38" s="322">
        <v>24</v>
      </c>
    </row>
    <row r="39" spans="1:7" ht="15">
      <c r="A39" s="40" t="s">
        <v>95</v>
      </c>
      <c r="C39" s="300">
        <v>12</v>
      </c>
      <c r="D39" s="299">
        <v>0</v>
      </c>
      <c r="E39" s="299">
        <v>12</v>
      </c>
      <c r="F39" s="299">
        <v>6</v>
      </c>
      <c r="G39" s="322">
        <v>72</v>
      </c>
    </row>
    <row r="40" spans="1:7" ht="15">
      <c r="A40" s="40" t="s">
        <v>93</v>
      </c>
      <c r="C40" s="300">
        <v>3</v>
      </c>
      <c r="D40" s="299">
        <v>1</v>
      </c>
      <c r="E40" s="299">
        <v>2</v>
      </c>
      <c r="F40" s="299">
        <v>12</v>
      </c>
      <c r="G40" s="322">
        <v>24</v>
      </c>
    </row>
    <row r="41" spans="1:7" ht="15">
      <c r="A41" s="40" t="s">
        <v>398</v>
      </c>
      <c r="C41" s="300"/>
      <c r="D41" s="300"/>
      <c r="E41" s="300"/>
      <c r="F41" s="300"/>
      <c r="G41" s="322">
        <v>20</v>
      </c>
    </row>
    <row r="42" spans="1:7" ht="15">
      <c r="A42" s="40" t="s">
        <v>397</v>
      </c>
      <c r="C42" s="300">
        <v>12</v>
      </c>
      <c r="D42" s="300">
        <v>3</v>
      </c>
      <c r="E42" s="300">
        <v>9</v>
      </c>
      <c r="F42" s="300">
        <v>0.2</v>
      </c>
      <c r="G42" s="322">
        <v>1.8</v>
      </c>
    </row>
    <row r="43" spans="1:7" ht="15">
      <c r="A43" s="40" t="s">
        <v>396</v>
      </c>
      <c r="C43" s="300"/>
      <c r="D43" s="300"/>
      <c r="E43" s="300"/>
      <c r="F43" s="300"/>
      <c r="G43" s="322">
        <v>40</v>
      </c>
    </row>
    <row r="44" spans="1:7" ht="15">
      <c r="A44" s="40" t="s">
        <v>395</v>
      </c>
      <c r="C44" s="300">
        <v>1</v>
      </c>
      <c r="D44" s="300">
        <v>0</v>
      </c>
      <c r="E44" s="300">
        <v>1</v>
      </c>
      <c r="F44" s="300">
        <v>3</v>
      </c>
      <c r="G44" s="322">
        <v>3</v>
      </c>
    </row>
    <row r="45" spans="1:7" ht="15">
      <c r="A45" s="40" t="s">
        <v>394</v>
      </c>
      <c r="C45" s="300">
        <v>1</v>
      </c>
      <c r="D45" s="300">
        <v>1</v>
      </c>
      <c r="E45" s="300"/>
      <c r="F45" s="300"/>
      <c r="G45" s="322">
        <v>0</v>
      </c>
    </row>
    <row r="46" spans="1:7" ht="15">
      <c r="A46" s="40" t="s">
        <v>393</v>
      </c>
      <c r="C46" s="300"/>
      <c r="D46" s="300"/>
      <c r="E46" s="300"/>
      <c r="F46" s="300"/>
      <c r="G46" s="322">
        <v>2</v>
      </c>
    </row>
    <row r="47" spans="1:7" ht="15">
      <c r="A47" s="40" t="s">
        <v>392</v>
      </c>
      <c r="C47" s="300"/>
      <c r="D47" s="300"/>
      <c r="E47" s="300"/>
      <c r="F47" s="300"/>
      <c r="G47" s="322">
        <v>2</v>
      </c>
    </row>
    <row r="48" spans="1:7" ht="15">
      <c r="A48" s="40" t="s">
        <v>391</v>
      </c>
      <c r="C48" s="300"/>
      <c r="D48" s="300"/>
      <c r="E48" s="300"/>
      <c r="F48" s="300"/>
      <c r="G48" s="322">
        <v>30</v>
      </c>
    </row>
    <row r="49" spans="1:7" ht="15">
      <c r="A49" s="40" t="s">
        <v>390</v>
      </c>
      <c r="C49" s="300"/>
      <c r="D49" s="300"/>
      <c r="E49" s="300"/>
      <c r="F49" s="300"/>
      <c r="G49" s="322">
        <v>4</v>
      </c>
    </row>
    <row r="50" spans="1:7" ht="15">
      <c r="A50" s="40" t="s">
        <v>389</v>
      </c>
      <c r="B50" s="81"/>
      <c r="C50" s="310">
        <v>4</v>
      </c>
      <c r="D50" s="310"/>
      <c r="E50" s="310"/>
      <c r="F50" s="310"/>
      <c r="G50" s="323">
        <v>10</v>
      </c>
    </row>
    <row r="51" spans="3:7" ht="15">
      <c r="C51" s="300"/>
      <c r="D51" s="300"/>
      <c r="E51" s="300"/>
      <c r="F51" s="300"/>
      <c r="G51" s="322"/>
    </row>
    <row r="52" spans="3:9" ht="15">
      <c r="C52" s="77"/>
      <c r="G52" s="188">
        <f>SUM(G24:G50)-G25-G33-G34</f>
        <v>330.8</v>
      </c>
      <c r="I52" s="40">
        <f>SUM(I24:I51)</f>
        <v>0</v>
      </c>
    </row>
    <row r="53" spans="1:7" ht="15">
      <c r="A53" s="40" t="s">
        <v>430</v>
      </c>
      <c r="C53" s="77"/>
      <c r="G53" s="260">
        <v>51.034</v>
      </c>
    </row>
    <row r="54" ht="15">
      <c r="G54" s="320">
        <f>SUM(G52:G53)</f>
        <v>381.834</v>
      </c>
    </row>
  </sheetData>
  <mergeCells count="2">
    <mergeCell ref="A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 topLeftCell="A1">
      <selection activeCell="H7" sqref="H7"/>
    </sheetView>
  </sheetViews>
  <sheetFormatPr defaultColWidth="9.140625" defaultRowHeight="15"/>
  <cols>
    <col min="3" max="3" width="14.8515625" style="0" bestFit="1" customWidth="1"/>
    <col min="5" max="5" width="11.8515625" style="0" bestFit="1" customWidth="1"/>
  </cols>
  <sheetData>
    <row r="3" spans="2:8" ht="15">
      <c r="B3" s="33" t="s">
        <v>303</v>
      </c>
      <c r="C3" s="40"/>
      <c r="D3" s="40"/>
      <c r="E3" s="40"/>
      <c r="F3" s="40"/>
      <c r="G3" s="40"/>
      <c r="H3" s="40"/>
    </row>
    <row r="4" spans="2:8" ht="15">
      <c r="B4" s="40">
        <v>1.0175</v>
      </c>
      <c r="C4" s="40"/>
      <c r="D4" s="40"/>
      <c r="E4" s="40"/>
      <c r="F4" s="40"/>
      <c r="G4" s="40"/>
      <c r="H4" s="40"/>
    </row>
    <row r="5" spans="1:9" ht="60">
      <c r="A5" s="293" t="s">
        <v>458</v>
      </c>
      <c r="B5" s="293" t="s">
        <v>458</v>
      </c>
      <c r="C5" s="193" t="s">
        <v>299</v>
      </c>
      <c r="D5" s="193" t="s">
        <v>300</v>
      </c>
      <c r="E5" s="193" t="s">
        <v>301</v>
      </c>
      <c r="F5" s="193" t="s">
        <v>135</v>
      </c>
      <c r="G5" s="193" t="s">
        <v>302</v>
      </c>
      <c r="H5" s="193" t="s">
        <v>453</v>
      </c>
      <c r="I5" s="193" t="s">
        <v>454</v>
      </c>
    </row>
    <row r="6" spans="1:9" ht="15">
      <c r="A6" s="318">
        <v>2.753</v>
      </c>
      <c r="B6" s="218">
        <f>A6*B$4</f>
        <v>2.8011775</v>
      </c>
      <c r="C6" s="40" t="s">
        <v>386</v>
      </c>
      <c r="D6" s="40" t="s">
        <v>336</v>
      </c>
      <c r="E6" s="40" t="s">
        <v>335</v>
      </c>
      <c r="F6" s="259">
        <v>4</v>
      </c>
      <c r="G6" s="81">
        <v>0.091</v>
      </c>
      <c r="H6" s="260">
        <v>11.012</v>
      </c>
      <c r="I6" s="222">
        <f>B6*F6</f>
        <v>11.20471</v>
      </c>
    </row>
    <row r="7" spans="6:9" ht="15">
      <c r="F7" s="239">
        <f>SUM(F6)</f>
        <v>4</v>
      </c>
      <c r="G7" s="239">
        <f aca="true" t="shared" si="0" ref="G7:H7">SUM(G6)</f>
        <v>0.091</v>
      </c>
      <c r="H7" s="362">
        <f t="shared" si="0"/>
        <v>11.012</v>
      </c>
      <c r="I7" s="351">
        <f>SUM(I6)</f>
        <v>11.20471</v>
      </c>
    </row>
    <row r="9" spans="2:8" ht="15">
      <c r="B9" s="33" t="s">
        <v>304</v>
      </c>
      <c r="C9" s="40"/>
      <c r="D9" s="40"/>
      <c r="E9" s="40"/>
      <c r="F9" s="40"/>
      <c r="G9" s="40"/>
      <c r="H9" s="40"/>
    </row>
    <row r="10" spans="2:8" ht="15">
      <c r="B10" s="40"/>
      <c r="C10" s="40"/>
      <c r="D10" s="40"/>
      <c r="E10" s="40"/>
      <c r="F10" s="40"/>
      <c r="G10" s="40"/>
      <c r="H10" s="40"/>
    </row>
    <row r="11" spans="2:8" ht="15">
      <c r="B11" s="40"/>
      <c r="C11" s="40"/>
      <c r="D11" s="40"/>
      <c r="E11" s="40" t="s">
        <v>306</v>
      </c>
      <c r="F11" s="40"/>
      <c r="G11" s="40"/>
      <c r="H11" s="326">
        <v>0</v>
      </c>
    </row>
    <row r="12" spans="2:8" ht="15">
      <c r="B12" s="40"/>
      <c r="C12" s="40"/>
      <c r="D12" s="40"/>
      <c r="E12" s="40"/>
      <c r="F12" s="40"/>
      <c r="G12" s="40"/>
      <c r="H12" s="40"/>
    </row>
    <row r="13" spans="2:8" ht="15">
      <c r="B13" s="40"/>
      <c r="C13" s="40"/>
      <c r="D13" s="40"/>
      <c r="E13" s="40"/>
      <c r="F13" s="40"/>
      <c r="G13" s="40"/>
      <c r="H13" s="40"/>
    </row>
    <row r="14" spans="2:8" ht="15">
      <c r="B14" s="40"/>
      <c r="C14" s="40"/>
      <c r="D14" s="40"/>
      <c r="E14" s="40"/>
      <c r="F14" s="40"/>
      <c r="G14" s="40"/>
      <c r="H14" s="40"/>
    </row>
    <row r="15" spans="2:8" ht="15">
      <c r="B15" s="40"/>
      <c r="C15" s="40"/>
      <c r="D15" s="40"/>
      <c r="E15" s="40"/>
      <c r="F15" s="40"/>
      <c r="G15" s="33" t="s">
        <v>305</v>
      </c>
      <c r="H15" s="246">
        <f>SUM(H6:H11)</f>
        <v>22.024</v>
      </c>
    </row>
    <row r="40" ht="15">
      <c r="D40" s="63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3"/>
  <sheetViews>
    <sheetView workbookViewId="0" topLeftCell="A1">
      <selection activeCell="K24" sqref="K24"/>
    </sheetView>
  </sheetViews>
  <sheetFormatPr defaultColWidth="9.140625" defaultRowHeight="15"/>
  <cols>
    <col min="3" max="3" width="16.421875" style="0" customWidth="1"/>
    <col min="5" max="5" width="19.140625" style="0" customWidth="1"/>
    <col min="7" max="7" width="11.57421875" style="0" bestFit="1" customWidth="1"/>
    <col min="8" max="8" width="10.00390625" style="0" bestFit="1" customWidth="1"/>
    <col min="9" max="9" width="11.421875" style="0" customWidth="1"/>
  </cols>
  <sheetData>
    <row r="4" spans="2:8" ht="15">
      <c r="B4" s="33" t="s">
        <v>303</v>
      </c>
      <c r="C4" s="40"/>
      <c r="D4" s="40"/>
      <c r="E4" s="40"/>
      <c r="F4" s="40"/>
      <c r="G4" s="40"/>
      <c r="H4" s="40"/>
    </row>
    <row r="5" spans="2:8" ht="15">
      <c r="B5" s="40">
        <v>1.0175</v>
      </c>
      <c r="C5" s="40"/>
      <c r="D5" s="40"/>
      <c r="E5" s="40"/>
      <c r="F5" s="40"/>
      <c r="G5" s="40"/>
      <c r="H5" s="40"/>
    </row>
    <row r="6" spans="1:9" ht="45">
      <c r="A6" s="193" t="s">
        <v>455</v>
      </c>
      <c r="B6" s="193" t="s">
        <v>456</v>
      </c>
      <c r="C6" s="193" t="s">
        <v>299</v>
      </c>
      <c r="D6" s="193" t="s">
        <v>300</v>
      </c>
      <c r="E6" s="193" t="s">
        <v>301</v>
      </c>
      <c r="F6" s="193" t="s">
        <v>135</v>
      </c>
      <c r="G6" s="193" t="s">
        <v>302</v>
      </c>
      <c r="H6" s="193" t="s">
        <v>453</v>
      </c>
      <c r="I6" s="193" t="s">
        <v>454</v>
      </c>
    </row>
    <row r="7" spans="1:9" s="40" customFormat="1" ht="45">
      <c r="A7" s="316">
        <v>2.34</v>
      </c>
      <c r="B7" s="222">
        <f>A7*B$5</f>
        <v>2.38095</v>
      </c>
      <c r="C7" s="277" t="s">
        <v>382</v>
      </c>
      <c r="D7" s="277" t="s">
        <v>380</v>
      </c>
      <c r="E7" s="278" t="s">
        <v>375</v>
      </c>
      <c r="F7" s="280">
        <v>5</v>
      </c>
      <c r="G7" s="282">
        <f>F7/44</f>
        <v>0.11363636363636363</v>
      </c>
      <c r="H7" s="316">
        <v>11.699</v>
      </c>
      <c r="I7" s="222">
        <f>B7*F7</f>
        <v>11.90475</v>
      </c>
    </row>
    <row r="8" spans="1:9" s="40" customFormat="1" ht="15">
      <c r="A8" s="316">
        <v>2.768</v>
      </c>
      <c r="B8" s="222">
        <f aca="true" t="shared" si="0" ref="B8:B11">A8*B$5</f>
        <v>2.81644</v>
      </c>
      <c r="C8" s="277" t="s">
        <v>383</v>
      </c>
      <c r="D8" s="277" t="s">
        <v>380</v>
      </c>
      <c r="E8" s="278" t="s">
        <v>376</v>
      </c>
      <c r="F8" s="280">
        <v>5</v>
      </c>
      <c r="G8" s="282">
        <f aca="true" t="shared" si="1" ref="G8:G12">F8/44</f>
        <v>0.11363636363636363</v>
      </c>
      <c r="H8" s="316">
        <v>13.841</v>
      </c>
      <c r="I8" s="222">
        <f aca="true" t="shared" si="2" ref="I8:I11">B8*F8</f>
        <v>14.0822</v>
      </c>
    </row>
    <row r="9" spans="1:9" s="40" customFormat="1" ht="15">
      <c r="A9" s="316">
        <v>2.957</v>
      </c>
      <c r="B9" s="222">
        <f t="shared" si="0"/>
        <v>3.0087475</v>
      </c>
      <c r="C9" s="277" t="s">
        <v>383</v>
      </c>
      <c r="D9" s="277" t="s">
        <v>282</v>
      </c>
      <c r="E9" s="278" t="s">
        <v>378</v>
      </c>
      <c r="F9" s="280">
        <v>14.6</v>
      </c>
      <c r="G9" s="282">
        <f>F9/44</f>
        <v>0.3318181818181818</v>
      </c>
      <c r="H9" s="316">
        <v>33.65</v>
      </c>
      <c r="I9" s="222">
        <f t="shared" si="2"/>
        <v>43.9277135</v>
      </c>
    </row>
    <row r="10" spans="1:9" s="40" customFormat="1" ht="15">
      <c r="A10" s="316">
        <v>3.365</v>
      </c>
      <c r="B10" s="222">
        <f t="shared" si="0"/>
        <v>3.4238875000000006</v>
      </c>
      <c r="C10" s="277" t="s">
        <v>384</v>
      </c>
      <c r="D10" s="277" t="s">
        <v>282</v>
      </c>
      <c r="E10" s="278" t="s">
        <v>377</v>
      </c>
      <c r="F10" s="280">
        <v>14.6</v>
      </c>
      <c r="G10" s="282">
        <f t="shared" si="1"/>
        <v>0.3318181818181818</v>
      </c>
      <c r="H10" s="316">
        <v>29.573</v>
      </c>
      <c r="I10" s="222">
        <f t="shared" si="2"/>
        <v>49.988757500000006</v>
      </c>
    </row>
    <row r="11" spans="1:9" ht="15">
      <c r="A11" s="316">
        <v>3.706</v>
      </c>
      <c r="B11" s="222">
        <f t="shared" si="0"/>
        <v>3.770855</v>
      </c>
      <c r="C11" s="277" t="s">
        <v>384</v>
      </c>
      <c r="D11" s="277" t="s">
        <v>381</v>
      </c>
      <c r="E11" s="278" t="s">
        <v>379</v>
      </c>
      <c r="F11" s="281">
        <v>14.6</v>
      </c>
      <c r="G11" s="283">
        <f t="shared" si="1"/>
        <v>0.3318181818181818</v>
      </c>
      <c r="H11" s="279">
        <v>37.055</v>
      </c>
      <c r="I11" s="348">
        <f t="shared" si="2"/>
        <v>55.054483</v>
      </c>
    </row>
    <row r="12" spans="2:9" ht="15">
      <c r="B12" s="40"/>
      <c r="C12" s="40"/>
      <c r="D12" s="40"/>
      <c r="E12" s="40"/>
      <c r="F12" s="284">
        <f>SUM(F7:F11)</f>
        <v>53.800000000000004</v>
      </c>
      <c r="G12" s="285">
        <f t="shared" si="1"/>
        <v>1.2227272727272729</v>
      </c>
      <c r="H12" s="361">
        <f>SUM(H7:H11)</f>
        <v>125.81800000000001</v>
      </c>
      <c r="I12" s="351">
        <f>SUM(I7:I11)</f>
        <v>174.957904</v>
      </c>
    </row>
    <row r="13" spans="2:8" ht="15">
      <c r="B13" s="40"/>
      <c r="C13" s="40"/>
      <c r="D13" s="40"/>
      <c r="E13" s="40"/>
      <c r="F13" s="40"/>
      <c r="G13" s="40"/>
      <c r="H13" s="40"/>
    </row>
    <row r="14" spans="2:8" ht="15">
      <c r="B14" s="33" t="s">
        <v>304</v>
      </c>
      <c r="C14" s="40"/>
      <c r="D14" s="40"/>
      <c r="E14" s="40"/>
      <c r="F14" s="40"/>
      <c r="G14" s="40"/>
      <c r="H14" s="40"/>
    </row>
    <row r="15" spans="2:8" ht="15">
      <c r="B15" s="40"/>
      <c r="C15" s="40"/>
      <c r="D15" s="40"/>
      <c r="E15" s="40"/>
      <c r="F15" s="40"/>
      <c r="G15" s="40"/>
      <c r="H15" s="40"/>
    </row>
    <row r="16" spans="2:8" ht="15">
      <c r="B16" s="40"/>
      <c r="C16" s="40"/>
      <c r="D16" s="40"/>
      <c r="E16" s="40" t="s">
        <v>306</v>
      </c>
      <c r="F16" s="40"/>
      <c r="G16" s="40"/>
      <c r="H16" s="324">
        <v>58</v>
      </c>
    </row>
    <row r="17" spans="2:8" ht="15">
      <c r="B17" s="40"/>
      <c r="C17" s="40"/>
      <c r="D17" s="40"/>
      <c r="E17" s="40"/>
      <c r="F17" s="40"/>
      <c r="G17" s="40"/>
      <c r="H17" s="40"/>
    </row>
    <row r="18" spans="2:8" ht="15">
      <c r="B18" s="40"/>
      <c r="C18" s="40"/>
      <c r="D18" s="40"/>
      <c r="E18" s="40"/>
      <c r="F18" s="40"/>
      <c r="G18" s="40"/>
      <c r="H18" s="40"/>
    </row>
    <row r="19" spans="2:8" ht="15">
      <c r="B19" s="40"/>
      <c r="C19" s="40"/>
      <c r="D19" s="40"/>
      <c r="E19" s="40"/>
      <c r="F19" s="40"/>
      <c r="G19" s="40"/>
      <c r="H19" s="81"/>
    </row>
    <row r="20" spans="2:8" ht="15">
      <c r="B20" s="40"/>
      <c r="C20" s="40"/>
      <c r="D20" s="40"/>
      <c r="E20" s="40"/>
      <c r="F20" s="40"/>
      <c r="G20" s="33" t="s">
        <v>305</v>
      </c>
      <c r="H20" s="246">
        <f>SUM(H11:H16)</f>
        <v>220.87300000000002</v>
      </c>
    </row>
    <row r="24" ht="15">
      <c r="C24" t="s">
        <v>372</v>
      </c>
    </row>
    <row r="26" ht="15">
      <c r="C26" t="s">
        <v>457</v>
      </c>
    </row>
    <row r="27" ht="15">
      <c r="C27" t="s">
        <v>373</v>
      </c>
    </row>
    <row r="28" ht="15">
      <c r="C28" t="s">
        <v>374</v>
      </c>
    </row>
    <row r="30" ht="15">
      <c r="B30" s="33" t="s">
        <v>304</v>
      </c>
    </row>
    <row r="31" spans="3:6" ht="15">
      <c r="C31" s="40" t="s">
        <v>534</v>
      </c>
      <c r="D31" s="69" t="s">
        <v>535</v>
      </c>
      <c r="E31" s="69" t="s">
        <v>536</v>
      </c>
      <c r="F31" s="69" t="s">
        <v>156</v>
      </c>
    </row>
    <row r="32" spans="3:6" ht="15">
      <c r="C32" s="40"/>
      <c r="D32" s="40"/>
      <c r="E32" s="40"/>
      <c r="F32" s="40"/>
    </row>
    <row r="33" spans="3:6" ht="15">
      <c r="C33" s="40" t="s">
        <v>537</v>
      </c>
      <c r="D33" s="40">
        <v>6</v>
      </c>
      <c r="E33" s="40">
        <v>1</v>
      </c>
      <c r="F33" s="40">
        <v>6</v>
      </c>
    </row>
    <row r="34" spans="3:6" ht="15">
      <c r="C34" s="40" t="s">
        <v>538</v>
      </c>
      <c r="D34" s="40">
        <v>16</v>
      </c>
      <c r="E34" s="40">
        <v>1</v>
      </c>
      <c r="F34" s="40">
        <v>16</v>
      </c>
    </row>
    <row r="35" spans="3:6" ht="15">
      <c r="C35" s="40" t="s">
        <v>539</v>
      </c>
      <c r="D35" s="40">
        <v>3.5</v>
      </c>
      <c r="E35" s="40">
        <v>2</v>
      </c>
      <c r="F35" s="40">
        <v>7</v>
      </c>
    </row>
    <row r="36" spans="3:6" ht="15">
      <c r="C36" s="40" t="s">
        <v>540</v>
      </c>
      <c r="D36" s="40">
        <v>2</v>
      </c>
      <c r="E36" s="40">
        <v>2</v>
      </c>
      <c r="F36" s="40">
        <v>4</v>
      </c>
    </row>
    <row r="37" spans="3:6" ht="15">
      <c r="C37" s="40" t="s">
        <v>541</v>
      </c>
      <c r="D37" s="40">
        <v>2.5</v>
      </c>
      <c r="E37" s="40">
        <v>2</v>
      </c>
      <c r="F37" s="40">
        <v>5</v>
      </c>
    </row>
    <row r="38" spans="3:6" ht="15">
      <c r="C38" s="40" t="s">
        <v>542</v>
      </c>
      <c r="D38" s="40"/>
      <c r="E38" s="40"/>
      <c r="F38" s="40"/>
    </row>
    <row r="39" spans="3:6" ht="15">
      <c r="C39" s="40" t="s">
        <v>543</v>
      </c>
      <c r="D39" s="40"/>
      <c r="E39" s="40"/>
      <c r="F39" s="40">
        <v>5</v>
      </c>
    </row>
    <row r="40" spans="3:6" ht="15">
      <c r="C40" s="40" t="s">
        <v>544</v>
      </c>
      <c r="D40" s="40">
        <v>3</v>
      </c>
      <c r="E40" s="40">
        <v>5</v>
      </c>
      <c r="F40" s="40">
        <v>15</v>
      </c>
    </row>
    <row r="41" spans="3:6" ht="15">
      <c r="C41" s="40" t="s">
        <v>545</v>
      </c>
      <c r="D41" s="40" t="s">
        <v>546</v>
      </c>
      <c r="E41" s="40">
        <v>2</v>
      </c>
      <c r="F41" s="40">
        <v>0</v>
      </c>
    </row>
    <row r="42" spans="3:6" ht="15">
      <c r="C42" s="40" t="s">
        <v>547</v>
      </c>
      <c r="D42" s="40">
        <v>8</v>
      </c>
      <c r="E42" s="40">
        <v>5</v>
      </c>
      <c r="F42" s="81">
        <v>0</v>
      </c>
    </row>
    <row r="43" spans="3:6" ht="15">
      <c r="C43" s="40"/>
      <c r="D43" s="40"/>
      <c r="E43" s="40"/>
      <c r="F43" s="40">
        <f>SUM(F33:F42)</f>
        <v>58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workbookViewId="0" topLeftCell="A1">
      <selection activeCell="P16" sqref="P16"/>
    </sheetView>
  </sheetViews>
  <sheetFormatPr defaultColWidth="9.140625" defaultRowHeight="15"/>
  <cols>
    <col min="2" max="2" width="9.140625" style="40" customWidth="1"/>
    <col min="4" max="4" width="14.00390625" style="0" bestFit="1" customWidth="1"/>
    <col min="6" max="6" width="16.57421875" style="0" bestFit="1" customWidth="1"/>
    <col min="8" max="8" width="11.140625" style="0" bestFit="1" customWidth="1"/>
    <col min="9" max="9" width="14.421875" style="0" bestFit="1" customWidth="1"/>
    <col min="10" max="10" width="11.140625" style="0" customWidth="1"/>
  </cols>
  <sheetData>
    <row r="2" spans="2:3" ht="15">
      <c r="B2" s="69">
        <v>1.0175</v>
      </c>
      <c r="C2" s="33" t="s">
        <v>303</v>
      </c>
    </row>
    <row r="4" spans="1:2" s="40" customFormat="1" ht="15">
      <c r="A4" s="33" t="s">
        <v>324</v>
      </c>
      <c r="B4" s="33" t="s">
        <v>326</v>
      </c>
    </row>
    <row r="5" spans="1:10" ht="47.25" customHeight="1">
      <c r="A5" s="293" t="s">
        <v>449</v>
      </c>
      <c r="B5" s="293" t="s">
        <v>449</v>
      </c>
      <c r="D5" s="193" t="s">
        <v>299</v>
      </c>
      <c r="E5" s="193" t="s">
        <v>300</v>
      </c>
      <c r="F5" s="193" t="s">
        <v>301</v>
      </c>
      <c r="G5" s="193" t="s">
        <v>135</v>
      </c>
      <c r="H5" s="193" t="s">
        <v>302</v>
      </c>
      <c r="I5" s="193" t="s">
        <v>453</v>
      </c>
      <c r="J5" s="193" t="s">
        <v>454</v>
      </c>
    </row>
    <row r="6" spans="1:10" ht="15">
      <c r="A6" s="188">
        <v>3.133</v>
      </c>
      <c r="B6" s="188">
        <f aca="true" t="shared" si="0" ref="B6:B11">A6*B$2</f>
        <v>3.1878275</v>
      </c>
      <c r="C6" t="s">
        <v>224</v>
      </c>
      <c r="D6" t="s">
        <v>286</v>
      </c>
      <c r="E6" t="s">
        <v>287</v>
      </c>
      <c r="F6" t="s">
        <v>288</v>
      </c>
      <c r="G6" s="59">
        <v>17</v>
      </c>
      <c r="H6">
        <v>0.386</v>
      </c>
      <c r="I6" s="188">
        <v>53.262</v>
      </c>
      <c r="J6" s="222">
        <f>B6*G6</f>
        <v>54.1930675</v>
      </c>
    </row>
    <row r="7" spans="1:10" ht="15">
      <c r="A7" s="188">
        <v>3.866</v>
      </c>
      <c r="B7" s="188">
        <f t="shared" si="0"/>
        <v>3.9336550000000003</v>
      </c>
      <c r="C7" t="s">
        <v>224</v>
      </c>
      <c r="D7" t="s">
        <v>289</v>
      </c>
      <c r="E7" t="s">
        <v>287</v>
      </c>
      <c r="F7" t="s">
        <v>290</v>
      </c>
      <c r="G7" s="59">
        <v>1</v>
      </c>
      <c r="H7">
        <v>0.023</v>
      </c>
      <c r="I7" s="188">
        <v>3.866</v>
      </c>
      <c r="J7" s="222">
        <f aca="true" t="shared" si="1" ref="J7:J11">B7*G7</f>
        <v>3.9336550000000003</v>
      </c>
    </row>
    <row r="8" spans="1:10" ht="15">
      <c r="A8" s="188">
        <v>3.642</v>
      </c>
      <c r="B8" s="188">
        <f t="shared" si="0"/>
        <v>3.7057350000000002</v>
      </c>
      <c r="C8" t="s">
        <v>7</v>
      </c>
      <c r="D8" t="s">
        <v>289</v>
      </c>
      <c r="E8" t="s">
        <v>291</v>
      </c>
      <c r="F8" t="s">
        <v>292</v>
      </c>
      <c r="G8" s="59">
        <v>2</v>
      </c>
      <c r="H8">
        <v>0.045</v>
      </c>
      <c r="I8" s="188">
        <v>7.283</v>
      </c>
      <c r="J8" s="222">
        <f t="shared" si="1"/>
        <v>7.4114700000000004</v>
      </c>
    </row>
    <row r="9" spans="1:10" ht="15">
      <c r="A9" s="188">
        <v>2.131</v>
      </c>
      <c r="B9" s="188">
        <f t="shared" si="0"/>
        <v>2.1682924999999997</v>
      </c>
      <c r="C9" t="s">
        <v>7</v>
      </c>
      <c r="D9" t="s">
        <v>293</v>
      </c>
      <c r="E9" t="s">
        <v>291</v>
      </c>
      <c r="F9" t="s">
        <v>294</v>
      </c>
      <c r="G9" s="59">
        <v>5</v>
      </c>
      <c r="H9">
        <v>0.114</v>
      </c>
      <c r="I9" s="188">
        <v>10.656</v>
      </c>
      <c r="J9" s="222">
        <f t="shared" si="1"/>
        <v>10.841462499999999</v>
      </c>
    </row>
    <row r="10" spans="1:10" ht="15">
      <c r="A10" s="188">
        <v>3.188</v>
      </c>
      <c r="B10" s="188">
        <f t="shared" si="0"/>
        <v>3.2437900000000006</v>
      </c>
      <c r="C10" t="s">
        <v>80</v>
      </c>
      <c r="D10" t="s">
        <v>295</v>
      </c>
      <c r="E10" t="s">
        <v>296</v>
      </c>
      <c r="G10" s="59">
        <v>6</v>
      </c>
      <c r="H10">
        <v>0.136</v>
      </c>
      <c r="I10" s="188">
        <v>19.131</v>
      </c>
      <c r="J10" s="222">
        <f t="shared" si="1"/>
        <v>19.462740000000004</v>
      </c>
    </row>
    <row r="11" spans="1:10" ht="15">
      <c r="A11" s="188">
        <v>3.571</v>
      </c>
      <c r="B11" s="188">
        <f t="shared" si="0"/>
        <v>3.6334925000000005</v>
      </c>
      <c r="C11" t="s">
        <v>80</v>
      </c>
      <c r="D11" t="s">
        <v>289</v>
      </c>
      <c r="E11" t="s">
        <v>297</v>
      </c>
      <c r="F11" t="s">
        <v>298</v>
      </c>
      <c r="G11" s="292">
        <v>3</v>
      </c>
      <c r="H11" s="81">
        <v>0.068</v>
      </c>
      <c r="I11" s="260">
        <v>10.713</v>
      </c>
      <c r="J11" s="348">
        <f t="shared" si="1"/>
        <v>10.900477500000001</v>
      </c>
    </row>
    <row r="12" spans="7:10" ht="15">
      <c r="G12" s="251">
        <f>SUM(G6:G11)</f>
        <v>34</v>
      </c>
      <c r="H12" s="33">
        <f>SUM(H6:H11)</f>
        <v>0.772</v>
      </c>
      <c r="I12" s="320">
        <f>SUM(I6:I11)</f>
        <v>104.911</v>
      </c>
      <c r="J12" s="222">
        <f>SUM(J6:J11)</f>
        <v>106.74287249999998</v>
      </c>
    </row>
    <row r="13" spans="3:13" ht="15">
      <c r="C13" s="33" t="s">
        <v>304</v>
      </c>
      <c r="I13" s="188"/>
      <c r="M13" t="s">
        <v>326</v>
      </c>
    </row>
    <row r="14" spans="9:13" ht="15">
      <c r="I14" s="188"/>
      <c r="M14" t="s">
        <v>576</v>
      </c>
    </row>
    <row r="15" spans="6:13" ht="15">
      <c r="F15" t="s">
        <v>306</v>
      </c>
      <c r="I15" s="320">
        <v>300</v>
      </c>
      <c r="M15" t="s">
        <v>577</v>
      </c>
    </row>
    <row r="16" spans="9:13" ht="15">
      <c r="I16" s="188"/>
      <c r="M16" t="s">
        <v>578</v>
      </c>
    </row>
    <row r="17" spans="9:13" ht="15">
      <c r="I17" s="188"/>
      <c r="M17" t="s">
        <v>579</v>
      </c>
    </row>
    <row r="18" ht="15">
      <c r="I18" s="188"/>
    </row>
    <row r="19" spans="8:9" ht="15">
      <c r="H19" s="33" t="s">
        <v>305</v>
      </c>
      <c r="I19" s="317">
        <f>SUM(I12+I15)</f>
        <v>404.911</v>
      </c>
    </row>
    <row r="24" spans="11:14" ht="15">
      <c r="K24" t="s">
        <v>324</v>
      </c>
      <c r="N24" t="s">
        <v>558</v>
      </c>
    </row>
    <row r="25" spans="11:15" ht="15">
      <c r="K25" t="s">
        <v>557</v>
      </c>
      <c r="N25">
        <v>30.97</v>
      </c>
      <c r="O25" t="s">
        <v>573</v>
      </c>
    </row>
    <row r="26" spans="14:15" ht="15">
      <c r="N26">
        <v>15.6</v>
      </c>
      <c r="O26" t="s">
        <v>574</v>
      </c>
    </row>
    <row r="27" spans="14:15" ht="15">
      <c r="N27">
        <v>4.2</v>
      </c>
      <c r="O27" t="s">
        <v>575</v>
      </c>
    </row>
    <row r="28" ht="15">
      <c r="N28">
        <f>SUM(N25:N27)</f>
        <v>50.77</v>
      </c>
    </row>
    <row r="29" spans="11:18" ht="29.25">
      <c r="K29" s="460" t="s">
        <v>559</v>
      </c>
      <c r="L29" s="460" t="s">
        <v>560</v>
      </c>
      <c r="M29" s="460" t="s">
        <v>178</v>
      </c>
      <c r="N29" s="460" t="s">
        <v>291</v>
      </c>
      <c r="O29" s="460" t="s">
        <v>561</v>
      </c>
      <c r="P29" s="461">
        <v>2</v>
      </c>
      <c r="Q29" s="461">
        <v>2</v>
      </c>
      <c r="R29" s="461">
        <v>0.05</v>
      </c>
    </row>
    <row r="30" spans="11:18" ht="29.25">
      <c r="K30" s="460" t="s">
        <v>562</v>
      </c>
      <c r="L30" s="460" t="s">
        <v>563</v>
      </c>
      <c r="M30" s="460" t="s">
        <v>178</v>
      </c>
      <c r="N30" s="460" t="s">
        <v>287</v>
      </c>
      <c r="O30" s="460" t="s">
        <v>561</v>
      </c>
      <c r="P30" s="461">
        <v>18</v>
      </c>
      <c r="Q30" s="461">
        <v>162</v>
      </c>
      <c r="R30" s="461">
        <v>4.05</v>
      </c>
    </row>
    <row r="31" spans="11:18" ht="29.25">
      <c r="K31" s="460" t="s">
        <v>564</v>
      </c>
      <c r="L31" s="460" t="s">
        <v>565</v>
      </c>
      <c r="M31" s="460" t="s">
        <v>178</v>
      </c>
      <c r="N31" s="460" t="s">
        <v>297</v>
      </c>
      <c r="O31" s="460" t="s">
        <v>561</v>
      </c>
      <c r="P31" s="461">
        <v>0</v>
      </c>
      <c r="Q31" s="461">
        <v>6</v>
      </c>
      <c r="R31" s="461">
        <v>0.16</v>
      </c>
    </row>
    <row r="32" spans="11:18" ht="29.25">
      <c r="K32" s="460" t="s">
        <v>566</v>
      </c>
      <c r="L32" s="460" t="s">
        <v>565</v>
      </c>
      <c r="M32" s="460" t="s">
        <v>178</v>
      </c>
      <c r="N32" s="460" t="s">
        <v>297</v>
      </c>
      <c r="O32" s="460" t="s">
        <v>561</v>
      </c>
      <c r="P32" s="461">
        <v>0</v>
      </c>
      <c r="Q32" s="461">
        <v>16</v>
      </c>
      <c r="R32" s="461">
        <v>0.4</v>
      </c>
    </row>
    <row r="33" spans="11:18" ht="29.25">
      <c r="K33" s="460" t="s">
        <v>567</v>
      </c>
      <c r="L33" s="460" t="s">
        <v>565</v>
      </c>
      <c r="M33" s="460" t="s">
        <v>178</v>
      </c>
      <c r="N33" s="460" t="s">
        <v>296</v>
      </c>
      <c r="O33" s="460" t="s">
        <v>561</v>
      </c>
      <c r="P33" s="461">
        <v>4</v>
      </c>
      <c r="Q33" s="461">
        <v>33</v>
      </c>
      <c r="R33" s="461">
        <v>0.83</v>
      </c>
    </row>
    <row r="34" spans="11:18" ht="29.25">
      <c r="K34" s="460" t="s">
        <v>568</v>
      </c>
      <c r="L34" s="460" t="s">
        <v>569</v>
      </c>
      <c r="M34" s="460" t="s">
        <v>178</v>
      </c>
      <c r="N34" s="460" t="s">
        <v>570</v>
      </c>
      <c r="O34" s="460" t="s">
        <v>561</v>
      </c>
      <c r="P34" s="461">
        <v>0</v>
      </c>
      <c r="Q34" s="461">
        <v>17</v>
      </c>
      <c r="R34" s="461">
        <v>0.43</v>
      </c>
    </row>
    <row r="35" spans="11:18" ht="29.25">
      <c r="K35" s="460" t="s">
        <v>571</v>
      </c>
      <c r="L35" s="460" t="s">
        <v>569</v>
      </c>
      <c r="M35" s="460" t="s">
        <v>178</v>
      </c>
      <c r="N35" s="460" t="s">
        <v>570</v>
      </c>
      <c r="O35" s="460" t="s">
        <v>561</v>
      </c>
      <c r="P35" s="461">
        <v>0</v>
      </c>
      <c r="Q35" s="461">
        <v>13</v>
      </c>
      <c r="R35" s="461">
        <v>0.33</v>
      </c>
    </row>
    <row r="36" spans="11:18" ht="29.25">
      <c r="K36" s="460" t="s">
        <v>562</v>
      </c>
      <c r="L36" s="460" t="s">
        <v>563</v>
      </c>
      <c r="M36" s="460" t="s">
        <v>572</v>
      </c>
      <c r="N36" s="460" t="s">
        <v>287</v>
      </c>
      <c r="O36" s="460" t="s">
        <v>561</v>
      </c>
      <c r="P36" s="461">
        <v>0</v>
      </c>
      <c r="Q36" s="461">
        <v>78</v>
      </c>
      <c r="R36" s="461">
        <v>1.95</v>
      </c>
    </row>
    <row r="37" ht="15">
      <c r="R37">
        <f>SUM(R29:R36)</f>
        <v>8.2</v>
      </c>
    </row>
    <row r="41" ht="15">
      <c r="E41" s="6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workbookViewId="0" topLeftCell="A7">
      <selection activeCell="D22" sqref="D22"/>
    </sheetView>
  </sheetViews>
  <sheetFormatPr defaultColWidth="9.140625" defaultRowHeight="15"/>
  <cols>
    <col min="1" max="1" width="17.28125" style="40" bestFit="1" customWidth="1"/>
    <col min="2" max="2" width="18.140625" style="40" bestFit="1" customWidth="1"/>
    <col min="3" max="3" width="7.7109375" style="40" customWidth="1"/>
    <col min="4" max="4" width="10.7109375" style="40" bestFit="1" customWidth="1"/>
    <col min="5" max="5" width="11.140625" style="40" bestFit="1" customWidth="1"/>
    <col min="6" max="6" width="10.57421875" style="40" bestFit="1" customWidth="1"/>
    <col min="8" max="8" width="10.7109375" style="40" bestFit="1" customWidth="1"/>
    <col min="9" max="9" width="11.140625" style="40" bestFit="1" customWidth="1"/>
    <col min="10" max="10" width="10.57421875" style="40" bestFit="1" customWidth="1"/>
    <col min="11" max="18" width="9.140625" style="40" customWidth="1"/>
    <col min="19" max="19" width="71.28125" style="40" bestFit="1" customWidth="1"/>
    <col min="20" max="16384" width="9.140625" style="40" customWidth="1"/>
  </cols>
  <sheetData>
    <row r="1" spans="7:10" ht="15">
      <c r="G1" s="40"/>
      <c r="H1" s="239" t="s">
        <v>366</v>
      </c>
      <c r="I1" s="33" t="s">
        <v>367</v>
      </c>
      <c r="J1" s="33" t="s">
        <v>368</v>
      </c>
    </row>
    <row r="2" spans="7:10" ht="15">
      <c r="G2" s="40"/>
      <c r="H2" s="40">
        <v>1.45384</v>
      </c>
      <c r="I2" s="40">
        <v>1.49</v>
      </c>
      <c r="J2" s="40">
        <v>1.513</v>
      </c>
    </row>
    <row r="3" ht="15">
      <c r="A3" s="33" t="s">
        <v>358</v>
      </c>
    </row>
    <row r="4" spans="1:7" ht="15">
      <c r="A4" s="33"/>
      <c r="G4" s="40"/>
    </row>
    <row r="5" spans="1:10" ht="15">
      <c r="A5" s="33" t="s">
        <v>356</v>
      </c>
      <c r="D5" s="462" t="s">
        <v>369</v>
      </c>
      <c r="E5" s="463"/>
      <c r="F5" s="464"/>
      <c r="G5" s="33"/>
      <c r="H5" s="462" t="s">
        <v>370</v>
      </c>
      <c r="I5" s="463"/>
      <c r="J5" s="464"/>
    </row>
    <row r="6" spans="1:19" ht="15">
      <c r="A6" s="236" t="s">
        <v>300</v>
      </c>
      <c r="B6" s="236" t="s">
        <v>359</v>
      </c>
      <c r="C6" s="236" t="s">
        <v>302</v>
      </c>
      <c r="D6" s="240" t="s">
        <v>140</v>
      </c>
      <c r="E6" s="240" t="s">
        <v>327</v>
      </c>
      <c r="F6" s="240" t="s">
        <v>163</v>
      </c>
      <c r="H6" s="240" t="s">
        <v>140</v>
      </c>
      <c r="I6" s="240" t="s">
        <v>327</v>
      </c>
      <c r="J6" s="240" t="s">
        <v>163</v>
      </c>
      <c r="S6" s="236" t="s">
        <v>222</v>
      </c>
    </row>
    <row r="7" spans="1:19" ht="15">
      <c r="A7" s="237"/>
      <c r="B7" s="237"/>
      <c r="C7" s="261">
        <f>53.68/44</f>
        <v>1.22</v>
      </c>
      <c r="D7" s="271">
        <v>160.322</v>
      </c>
      <c r="E7" s="271">
        <v>189.48</v>
      </c>
      <c r="F7" s="271">
        <f>SUM(D7:E7)</f>
        <v>349.802</v>
      </c>
      <c r="G7" s="40"/>
      <c r="H7" s="271">
        <f>160.3214*H$2</f>
        <v>233.08166417600003</v>
      </c>
      <c r="I7" s="271">
        <f>(189.48-2.602)*H$2+2.602</f>
        <v>274.29271151999995</v>
      </c>
      <c r="J7" s="271">
        <f>SUM(H7:I7)</f>
        <v>507.374375696</v>
      </c>
      <c r="S7" s="237" t="s">
        <v>354</v>
      </c>
    </row>
    <row r="8" spans="3:7" ht="15">
      <c r="C8" s="59"/>
      <c r="G8" s="40"/>
    </row>
    <row r="9" spans="1:3" ht="15">
      <c r="A9" s="33" t="s">
        <v>357</v>
      </c>
      <c r="C9" s="59"/>
    </row>
    <row r="10" spans="1:19" ht="15">
      <c r="A10" s="236" t="s">
        <v>300</v>
      </c>
      <c r="B10" s="236" t="s">
        <v>359</v>
      </c>
      <c r="C10" s="264" t="s">
        <v>302</v>
      </c>
      <c r="D10" s="240" t="s">
        <v>140</v>
      </c>
      <c r="E10" s="240" t="s">
        <v>327</v>
      </c>
      <c r="F10" s="240" t="s">
        <v>163</v>
      </c>
      <c r="H10" s="240" t="s">
        <v>140</v>
      </c>
      <c r="I10" s="240" t="s">
        <v>327</v>
      </c>
      <c r="J10" s="240" t="s">
        <v>163</v>
      </c>
      <c r="S10" s="236" t="s">
        <v>222</v>
      </c>
    </row>
    <row r="11" spans="1:19" ht="15">
      <c r="A11" s="244" t="s">
        <v>40</v>
      </c>
      <c r="B11" s="244" t="s">
        <v>285</v>
      </c>
      <c r="C11" s="262">
        <f>MSSURV!B33</f>
        <v>0.5034090909090909</v>
      </c>
      <c r="D11" s="245">
        <f>MSSURV!D39</f>
        <v>68.11</v>
      </c>
      <c r="E11" s="245">
        <f>MSSURV!D41</f>
        <v>0</v>
      </c>
      <c r="F11" s="245">
        <f>SUM(D11:E11)</f>
        <v>68.11</v>
      </c>
      <c r="H11" s="245">
        <f>D11*I$2</f>
        <v>101.4839</v>
      </c>
      <c r="I11" s="245">
        <f>E11*I$2</f>
        <v>0</v>
      </c>
      <c r="J11" s="245">
        <f>SUM(H11:I11)</f>
        <v>101.4839</v>
      </c>
      <c r="S11" s="244"/>
    </row>
    <row r="12" spans="1:19" ht="15">
      <c r="A12" s="247" t="s">
        <v>60</v>
      </c>
      <c r="B12" s="247" t="s">
        <v>328</v>
      </c>
      <c r="C12" s="263">
        <f>EESICS!B24</f>
        <v>0.9295454545454546</v>
      </c>
      <c r="D12" s="248">
        <f>EESICS!B21</f>
        <v>88.56</v>
      </c>
      <c r="E12" s="248">
        <f>EESICS!E46</f>
        <v>98</v>
      </c>
      <c r="F12" s="248">
        <f>SUM(D12:E12)</f>
        <v>186.56</v>
      </c>
      <c r="G12" s="40"/>
      <c r="H12" s="248">
        <f aca="true" t="shared" si="0" ref="H12:H14">D12*I$2</f>
        <v>131.9544</v>
      </c>
      <c r="I12" s="248">
        <f aca="true" t="shared" si="1" ref="I12:I14">E12*I$2</f>
        <v>146.02</v>
      </c>
      <c r="J12" s="248">
        <f>SUM(H12:I12)</f>
        <v>277.9744</v>
      </c>
      <c r="S12" s="247" t="s">
        <v>334</v>
      </c>
    </row>
    <row r="13" spans="1:19" ht="15">
      <c r="A13" s="308" t="s">
        <v>37</v>
      </c>
      <c r="B13" s="244" t="s">
        <v>37</v>
      </c>
      <c r="C13" s="262">
        <f>EESRFS!B8</f>
        <v>4.036363636363636</v>
      </c>
      <c r="D13" s="245">
        <f>EESRFS!C11+EESRFS!D11+EESRFS!E11+EESRFS!F11</f>
        <v>468.245</v>
      </c>
      <c r="E13" s="309">
        <f>EESRFS!I17</f>
        <v>252.5</v>
      </c>
      <c r="F13" s="245">
        <f>SUM(D13:E13)</f>
        <v>720.745</v>
      </c>
      <c r="H13" s="245">
        <f t="shared" si="0"/>
        <v>697.68505</v>
      </c>
      <c r="I13" s="245">
        <f>(E13-5.485)*I$2+5.485</f>
        <v>373.53735</v>
      </c>
      <c r="J13" s="245">
        <f>SUM(H13:I13)</f>
        <v>1071.2224</v>
      </c>
      <c r="K13" s="192" t="s">
        <v>434</v>
      </c>
      <c r="L13" s="192"/>
      <c r="M13" s="192"/>
      <c r="N13" s="192"/>
      <c r="O13" s="192"/>
      <c r="P13" s="192"/>
      <c r="Q13" s="192"/>
      <c r="S13" s="244" t="s">
        <v>330</v>
      </c>
    </row>
    <row r="14" spans="1:19" ht="15">
      <c r="A14" s="244" t="s">
        <v>75</v>
      </c>
      <c r="B14" s="244" t="s">
        <v>275</v>
      </c>
      <c r="C14" s="262">
        <f>'EESDCP 4-22-15'!B18</f>
        <v>0.3318181818181818</v>
      </c>
      <c r="D14" s="245">
        <f>'EESDCP 4-22-15'!B20</f>
        <v>31.657</v>
      </c>
      <c r="E14" s="245">
        <f>'EESDCP 4-22-15'!F32</f>
        <v>144.5</v>
      </c>
      <c r="F14" s="245">
        <f>SUM(D14:E14)</f>
        <v>176.157</v>
      </c>
      <c r="H14" s="245">
        <f t="shared" si="0"/>
        <v>47.16893</v>
      </c>
      <c r="I14" s="245">
        <f t="shared" si="1"/>
        <v>215.305</v>
      </c>
      <c r="J14" s="245">
        <f>SUM(H14:I14)</f>
        <v>262.47393</v>
      </c>
      <c r="S14" s="244"/>
    </row>
    <row r="15" spans="1:19" ht="15">
      <c r="A15" s="247" t="s">
        <v>36</v>
      </c>
      <c r="B15" s="247" t="s">
        <v>276</v>
      </c>
      <c r="C15" s="263">
        <f>'EESSAF-PSS'!B31</f>
        <v>1.5488636363636366</v>
      </c>
      <c r="D15" s="248">
        <f>'EESSAF-PSS'!B36</f>
        <v>151.285</v>
      </c>
      <c r="E15" s="248">
        <f>'EESSAF-PSS'!B37</f>
        <v>35</v>
      </c>
      <c r="F15" s="248">
        <f>SUM(D15:E15)</f>
        <v>186.285</v>
      </c>
      <c r="G15" s="40"/>
      <c r="H15" s="248">
        <f aca="true" t="shared" si="2" ref="H15:H23">D15*I$2</f>
        <v>225.41465</v>
      </c>
      <c r="I15" s="248">
        <f aca="true" t="shared" si="3" ref="I15:I23">E15*I$2</f>
        <v>52.15</v>
      </c>
      <c r="J15" s="248">
        <f>SUM(H15:I15)</f>
        <v>277.56465</v>
      </c>
      <c r="S15" s="247" t="s">
        <v>333</v>
      </c>
    </row>
    <row r="16" spans="1:19" ht="15">
      <c r="A16" s="247" t="s">
        <v>36</v>
      </c>
      <c r="B16" s="247" t="s">
        <v>280</v>
      </c>
      <c r="C16" s="263"/>
      <c r="D16" s="248">
        <v>0</v>
      </c>
      <c r="E16" s="248">
        <v>0</v>
      </c>
      <c r="F16" s="248">
        <f aca="true" t="shared" si="4" ref="F16:F23">SUM(D16:E16)</f>
        <v>0</v>
      </c>
      <c r="H16" s="248">
        <f t="shared" si="2"/>
        <v>0</v>
      </c>
      <c r="I16" s="248">
        <f t="shared" si="3"/>
        <v>0</v>
      </c>
      <c r="J16" s="248">
        <f aca="true" t="shared" si="5" ref="J16:J23">SUM(H16:I16)</f>
        <v>0</v>
      </c>
      <c r="S16" s="247"/>
    </row>
    <row r="17" spans="1:19" ht="15">
      <c r="A17" s="244" t="s">
        <v>36</v>
      </c>
      <c r="B17" s="244" t="s">
        <v>281</v>
      </c>
      <c r="C17" s="262">
        <f>'EESSAF-ODH 4-22-15'!F16</f>
        <v>0.30454545454545456</v>
      </c>
      <c r="D17" s="245">
        <f>'EESSAF-ODH 4-22-15'!D17</f>
        <v>26.962</v>
      </c>
      <c r="E17" s="245">
        <f>'EESSAF-ODH 4-22-15'!D18</f>
        <v>10.6665</v>
      </c>
      <c r="F17" s="245">
        <f t="shared" si="4"/>
        <v>37.6285</v>
      </c>
      <c r="H17" s="245">
        <f t="shared" si="2"/>
        <v>40.17338</v>
      </c>
      <c r="I17" s="245">
        <f t="shared" si="3"/>
        <v>15.893085</v>
      </c>
      <c r="J17" s="245">
        <f t="shared" si="5"/>
        <v>56.066465</v>
      </c>
      <c r="S17" s="244"/>
    </row>
    <row r="18" spans="1:19" ht="15">
      <c r="A18" s="308" t="s">
        <v>76</v>
      </c>
      <c r="B18" s="244" t="s">
        <v>277</v>
      </c>
      <c r="C18" s="262">
        <f>MSCRYO!G35</f>
        <v>1.9650000000000003</v>
      </c>
      <c r="D18" s="245">
        <f>MSCRYO!I35</f>
        <v>142.334</v>
      </c>
      <c r="E18" s="248">
        <f>MSCRYO!I38</f>
        <v>48</v>
      </c>
      <c r="F18" s="245">
        <f t="shared" si="4"/>
        <v>190.334</v>
      </c>
      <c r="H18" s="245">
        <f t="shared" si="2"/>
        <v>212.07766</v>
      </c>
      <c r="I18" s="245">
        <f t="shared" si="3"/>
        <v>71.52</v>
      </c>
      <c r="J18" s="245">
        <f t="shared" si="5"/>
        <v>283.59766</v>
      </c>
      <c r="S18" s="244" t="s">
        <v>331</v>
      </c>
    </row>
    <row r="19" spans="1:19" ht="15">
      <c r="A19" s="308" t="s">
        <v>340</v>
      </c>
      <c r="B19" s="244" t="s">
        <v>341</v>
      </c>
      <c r="C19" s="262">
        <f>MSMECH!G14</f>
        <v>1.4999999999999998</v>
      </c>
      <c r="D19" s="245">
        <f>MSMECH!H14</f>
        <v>194.91299999999998</v>
      </c>
      <c r="E19" s="245">
        <v>0</v>
      </c>
      <c r="F19" s="245">
        <f t="shared" si="4"/>
        <v>194.91299999999998</v>
      </c>
      <c r="H19" s="245">
        <f t="shared" si="2"/>
        <v>290.42037</v>
      </c>
      <c r="I19" s="245">
        <f t="shared" si="3"/>
        <v>0</v>
      </c>
      <c r="J19" s="245">
        <f t="shared" si="5"/>
        <v>290.42037</v>
      </c>
      <c r="S19" s="244"/>
    </row>
    <row r="20" spans="1:19" ht="15">
      <c r="A20" s="244" t="s">
        <v>282</v>
      </c>
      <c r="B20" s="244" t="s">
        <v>329</v>
      </c>
      <c r="C20" s="262">
        <f>OPSSFT!G12</f>
        <v>1.2227272727272729</v>
      </c>
      <c r="D20" s="245">
        <f>OPSSFT!H12</f>
        <v>125.81800000000001</v>
      </c>
      <c r="E20" s="245">
        <f>OPSSFT!H16</f>
        <v>58</v>
      </c>
      <c r="F20" s="245">
        <f t="shared" si="4"/>
        <v>183.818</v>
      </c>
      <c r="G20" s="40"/>
      <c r="H20" s="245">
        <f t="shared" si="2"/>
        <v>187.46882000000002</v>
      </c>
      <c r="I20" s="245">
        <f t="shared" si="3"/>
        <v>86.42</v>
      </c>
      <c r="J20" s="245">
        <f t="shared" si="5"/>
        <v>273.88882</v>
      </c>
      <c r="S20" s="247"/>
    </row>
    <row r="21" spans="1:19" ht="15">
      <c r="A21" s="244" t="s">
        <v>336</v>
      </c>
      <c r="B21" s="244" t="s">
        <v>279</v>
      </c>
      <c r="C21" s="262">
        <f>SRFOPS!G7</f>
        <v>0.091</v>
      </c>
      <c r="D21" s="245">
        <f>SRFOPS!H7</f>
        <v>11.012</v>
      </c>
      <c r="E21" s="245">
        <f>SRFOPS!H11</f>
        <v>0</v>
      </c>
      <c r="F21" s="245">
        <f t="shared" si="4"/>
        <v>11.012</v>
      </c>
      <c r="H21" s="245">
        <f t="shared" si="2"/>
        <v>16.407880000000002</v>
      </c>
      <c r="I21" s="245">
        <f t="shared" si="3"/>
        <v>0</v>
      </c>
      <c r="J21" s="245">
        <f t="shared" si="5"/>
        <v>16.407880000000002</v>
      </c>
      <c r="S21" s="244"/>
    </row>
    <row r="22" spans="1:19" ht="15">
      <c r="A22" s="244" t="s">
        <v>283</v>
      </c>
      <c r="B22" s="244" t="s">
        <v>278</v>
      </c>
      <c r="C22" s="262">
        <f>ACCCIS!B20</f>
        <v>1.5454545454545452</v>
      </c>
      <c r="D22" s="245">
        <f>ACCCIS!L18</f>
        <v>222.82899999999998</v>
      </c>
      <c r="E22" s="245">
        <f>ACCCIS!G54</f>
        <v>381.834</v>
      </c>
      <c r="F22" s="245">
        <f t="shared" si="4"/>
        <v>604.663</v>
      </c>
      <c r="G22" s="40"/>
      <c r="H22" s="245">
        <f t="shared" si="2"/>
        <v>332.01520999999997</v>
      </c>
      <c r="I22" s="245">
        <f t="shared" si="3"/>
        <v>568.93266</v>
      </c>
      <c r="J22" s="245">
        <f t="shared" si="5"/>
        <v>900.94787</v>
      </c>
      <c r="S22" s="247" t="s">
        <v>351</v>
      </c>
    </row>
    <row r="23" spans="1:19" ht="15">
      <c r="A23" s="308" t="s">
        <v>284</v>
      </c>
      <c r="B23" s="244" t="s">
        <v>274</v>
      </c>
      <c r="C23" s="262">
        <f>Facilities!H12</f>
        <v>0.772</v>
      </c>
      <c r="D23" s="245">
        <f>Facilities!I12</f>
        <v>104.911</v>
      </c>
      <c r="E23" s="245">
        <f>Facilities!I15</f>
        <v>300</v>
      </c>
      <c r="F23" s="245">
        <f t="shared" si="4"/>
        <v>404.911</v>
      </c>
      <c r="G23" s="40"/>
      <c r="H23" s="245">
        <f t="shared" si="2"/>
        <v>156.31739</v>
      </c>
      <c r="I23" s="245">
        <f t="shared" si="3"/>
        <v>447</v>
      </c>
      <c r="J23" s="245">
        <f t="shared" si="5"/>
        <v>603.3173899999999</v>
      </c>
      <c r="S23" s="244" t="s">
        <v>332</v>
      </c>
    </row>
    <row r="24" spans="2:10" ht="15.75" thickBot="1">
      <c r="B24" s="98"/>
      <c r="C24" s="98"/>
      <c r="D24" s="270"/>
      <c r="E24" s="270"/>
      <c r="F24" s="270"/>
      <c r="G24" s="40"/>
      <c r="H24" s="270"/>
      <c r="I24" s="270"/>
      <c r="J24" s="270"/>
    </row>
    <row r="25" spans="2:10" ht="15">
      <c r="B25" s="33" t="s">
        <v>163</v>
      </c>
      <c r="C25" s="251">
        <f>SUM(C11:C23)</f>
        <v>14.750727272727271</v>
      </c>
      <c r="D25" s="249">
        <f>SUM(D11:D23)</f>
        <v>1636.636</v>
      </c>
      <c r="E25" s="249">
        <f>SUM(E11:E23)</f>
        <v>1328.5005</v>
      </c>
      <c r="F25" s="249">
        <f>SUM(F11:F23)</f>
        <v>2965.1365</v>
      </c>
      <c r="G25" s="40"/>
      <c r="H25" s="249">
        <f>SUM(H11:H23)</f>
        <v>2438.58764</v>
      </c>
      <c r="I25" s="249">
        <f>SUM(I11:I23)</f>
        <v>1976.7780950000001</v>
      </c>
      <c r="J25" s="249">
        <f>SUM(J11:J23)</f>
        <v>4415.365735</v>
      </c>
    </row>
    <row r="26" spans="6:10" ht="15">
      <c r="F26" s="187"/>
      <c r="G26" s="40"/>
      <c r="J26" s="187"/>
    </row>
    <row r="27" spans="1:7" ht="15">
      <c r="A27" s="33" t="s">
        <v>355</v>
      </c>
      <c r="B27" s="40" t="s">
        <v>452</v>
      </c>
      <c r="G27" s="40"/>
    </row>
    <row r="28" spans="1:19" ht="15">
      <c r="A28" s="236" t="s">
        <v>300</v>
      </c>
      <c r="B28" s="236" t="s">
        <v>359</v>
      </c>
      <c r="C28" s="264" t="s">
        <v>302</v>
      </c>
      <c r="D28" s="240" t="s">
        <v>140</v>
      </c>
      <c r="E28" s="240" t="s">
        <v>327</v>
      </c>
      <c r="F28" s="240" t="s">
        <v>163</v>
      </c>
      <c r="G28" s="40"/>
      <c r="H28" s="240" t="s">
        <v>140</v>
      </c>
      <c r="I28" s="240" t="s">
        <v>327</v>
      </c>
      <c r="J28" s="240" t="s">
        <v>163</v>
      </c>
      <c r="S28" s="236" t="s">
        <v>222</v>
      </c>
    </row>
    <row r="29" spans="1:19" ht="15">
      <c r="A29" s="237" t="s">
        <v>40</v>
      </c>
      <c r="B29" s="237" t="s">
        <v>285</v>
      </c>
      <c r="C29" s="237"/>
      <c r="D29" s="238">
        <f>MSSURV!H63+MSSURV!M63</f>
        <v>0</v>
      </c>
      <c r="E29" s="238">
        <v>0</v>
      </c>
      <c r="F29" s="238">
        <f aca="true" t="shared" si="6" ref="F29:F41">SUM(D29:E29)</f>
        <v>0</v>
      </c>
      <c r="G29" s="40"/>
      <c r="H29" s="238">
        <f>D29*J$2</f>
        <v>0</v>
      </c>
      <c r="I29" s="238">
        <f>E29*J$2</f>
        <v>0</v>
      </c>
      <c r="J29" s="238">
        <f aca="true" t="shared" si="7" ref="J29:J41">SUM(H29:I29)</f>
        <v>0</v>
      </c>
      <c r="S29" s="237"/>
    </row>
    <row r="30" spans="1:19" ht="15">
      <c r="A30" s="237" t="s">
        <v>60</v>
      </c>
      <c r="B30" s="237" t="s">
        <v>328</v>
      </c>
      <c r="C30" s="237"/>
      <c r="D30" s="238">
        <f>EESICS!G40+EESICS!L40</f>
        <v>0</v>
      </c>
      <c r="E30" s="238">
        <f>EESICS!E64</f>
        <v>0</v>
      </c>
      <c r="F30" s="238">
        <f t="shared" si="6"/>
        <v>0</v>
      </c>
      <c r="G30" s="40"/>
      <c r="H30" s="238">
        <f aca="true" t="shared" si="8" ref="H30:H41">D30*J$2</f>
        <v>0</v>
      </c>
      <c r="I30" s="238">
        <f aca="true" t="shared" si="9" ref="I30:I41">E30*J$2</f>
        <v>0</v>
      </c>
      <c r="J30" s="238">
        <f t="shared" si="7"/>
        <v>0</v>
      </c>
      <c r="S30" s="237"/>
    </row>
    <row r="31" spans="1:19" ht="15">
      <c r="A31" s="237" t="s">
        <v>37</v>
      </c>
      <c r="B31" s="237" t="s">
        <v>37</v>
      </c>
      <c r="C31" s="237"/>
      <c r="D31" s="238">
        <f>EESRFS!C31+EESRFS!D31+EESRFS!E31+EESRFS!F31</f>
        <v>0</v>
      </c>
      <c r="E31" s="238">
        <f>EESRFS!J28/1000</f>
        <v>0</v>
      </c>
      <c r="F31" s="238">
        <f t="shared" si="6"/>
        <v>0</v>
      </c>
      <c r="G31" s="40"/>
      <c r="H31" s="238">
        <f t="shared" si="8"/>
        <v>0</v>
      </c>
      <c r="I31" s="238">
        <f t="shared" si="9"/>
        <v>0</v>
      </c>
      <c r="J31" s="238">
        <f t="shared" si="7"/>
        <v>0</v>
      </c>
      <c r="S31" s="237"/>
    </row>
    <row r="32" spans="1:19" ht="15">
      <c r="A32" s="237" t="s">
        <v>75</v>
      </c>
      <c r="B32" s="237" t="s">
        <v>275</v>
      </c>
      <c r="C32" s="237"/>
      <c r="D32" s="238">
        <f>EESRFS!C32+EESRFS!D32+EESRFS!E32+EESRFS!F32</f>
        <v>0</v>
      </c>
      <c r="E32" s="238">
        <f>EESRFS!J29/1000</f>
        <v>0</v>
      </c>
      <c r="F32" s="238">
        <f t="shared" si="6"/>
        <v>0</v>
      </c>
      <c r="G32" s="40"/>
      <c r="H32" s="238">
        <f t="shared" si="8"/>
        <v>0</v>
      </c>
      <c r="I32" s="238">
        <f t="shared" si="9"/>
        <v>0</v>
      </c>
      <c r="J32" s="238">
        <f t="shared" si="7"/>
        <v>0</v>
      </c>
      <c r="S32" s="237"/>
    </row>
    <row r="33" spans="1:19" ht="15">
      <c r="A33" s="237" t="s">
        <v>36</v>
      </c>
      <c r="B33" s="237" t="s">
        <v>276</v>
      </c>
      <c r="C33" s="237"/>
      <c r="D33" s="238">
        <f>EESRFS!C33+EESRFS!D33+EESRFS!E33+EESRFS!F33</f>
        <v>0</v>
      </c>
      <c r="E33" s="238">
        <f>EESRFS!J30/1000</f>
        <v>0</v>
      </c>
      <c r="F33" s="238">
        <f t="shared" si="6"/>
        <v>0</v>
      </c>
      <c r="G33" s="40"/>
      <c r="H33" s="238">
        <f t="shared" si="8"/>
        <v>0</v>
      </c>
      <c r="I33" s="238">
        <f t="shared" si="9"/>
        <v>0</v>
      </c>
      <c r="J33" s="238">
        <f t="shared" si="7"/>
        <v>0</v>
      </c>
      <c r="S33" s="237"/>
    </row>
    <row r="34" spans="1:19" ht="15">
      <c r="A34" s="237" t="s">
        <v>36</v>
      </c>
      <c r="B34" s="237" t="s">
        <v>280</v>
      </c>
      <c r="C34" s="237"/>
      <c r="D34" s="238">
        <f>EESRFS!C34+EESRFS!D34+EESRFS!E34+EESRFS!F34</f>
        <v>0</v>
      </c>
      <c r="E34" s="238">
        <f>EESRFS!J31/1000</f>
        <v>0</v>
      </c>
      <c r="F34" s="238">
        <f t="shared" si="6"/>
        <v>0</v>
      </c>
      <c r="G34" s="40"/>
      <c r="H34" s="238">
        <f t="shared" si="8"/>
        <v>0</v>
      </c>
      <c r="I34" s="238">
        <f t="shared" si="9"/>
        <v>0</v>
      </c>
      <c r="J34" s="238">
        <f t="shared" si="7"/>
        <v>0</v>
      </c>
      <c r="S34" s="237"/>
    </row>
    <row r="35" spans="1:19" ht="15">
      <c r="A35" s="237" t="s">
        <v>36</v>
      </c>
      <c r="B35" s="237" t="s">
        <v>281</v>
      </c>
      <c r="C35" s="237"/>
      <c r="D35" s="238">
        <f>EESRFS!C36+EESRFS!D36+EESRFS!E36+EESRFS!F36</f>
        <v>0</v>
      </c>
      <c r="E35" s="238">
        <f>EESRFS!J33/1000</f>
        <v>0</v>
      </c>
      <c r="F35" s="238">
        <f t="shared" si="6"/>
        <v>0</v>
      </c>
      <c r="G35" s="40"/>
      <c r="H35" s="238">
        <f t="shared" si="8"/>
        <v>0</v>
      </c>
      <c r="I35" s="238">
        <f t="shared" si="9"/>
        <v>0</v>
      </c>
      <c r="J35" s="238">
        <f t="shared" si="7"/>
        <v>0</v>
      </c>
      <c r="S35" s="237"/>
    </row>
    <row r="36" spans="1:19" ht="15">
      <c r="A36" s="237" t="s">
        <v>76</v>
      </c>
      <c r="B36" s="237" t="s">
        <v>277</v>
      </c>
      <c r="C36" s="237">
        <v>0.5</v>
      </c>
      <c r="D36" s="238">
        <f>(186/1.49)/2</f>
        <v>62.41610738255034</v>
      </c>
      <c r="E36" s="238">
        <v>42.5</v>
      </c>
      <c r="F36" s="238">
        <f t="shared" si="6"/>
        <v>104.91610738255034</v>
      </c>
      <c r="G36" s="40"/>
      <c r="H36" s="238">
        <f t="shared" si="8"/>
        <v>94.43557046979865</v>
      </c>
      <c r="I36" s="238">
        <f t="shared" si="9"/>
        <v>64.3025</v>
      </c>
      <c r="J36" s="238">
        <f t="shared" si="7"/>
        <v>158.73807046979863</v>
      </c>
      <c r="S36" s="237" t="s">
        <v>348</v>
      </c>
    </row>
    <row r="37" spans="1:19" ht="15">
      <c r="A37" s="237" t="s">
        <v>340</v>
      </c>
      <c r="B37" s="237" t="s">
        <v>341</v>
      </c>
      <c r="C37" s="237"/>
      <c r="D37" s="238">
        <f>MSMECH!H33</f>
        <v>0</v>
      </c>
      <c r="E37" s="238">
        <v>0</v>
      </c>
      <c r="F37" s="238">
        <f t="shared" si="6"/>
        <v>0</v>
      </c>
      <c r="G37" s="40"/>
      <c r="H37" s="238">
        <f t="shared" si="8"/>
        <v>0</v>
      </c>
      <c r="I37" s="238">
        <f t="shared" si="9"/>
        <v>0</v>
      </c>
      <c r="J37" s="238">
        <f t="shared" si="7"/>
        <v>0</v>
      </c>
      <c r="S37" s="237"/>
    </row>
    <row r="38" spans="1:19" ht="15">
      <c r="A38" s="237" t="s">
        <v>282</v>
      </c>
      <c r="B38" s="237" t="s">
        <v>329</v>
      </c>
      <c r="C38" s="237"/>
      <c r="D38" s="238">
        <f>EESRFS!C37+EESRFS!D37+EESRFS!E37+EESRFS!F37</f>
        <v>0</v>
      </c>
      <c r="E38" s="238">
        <f>EESRFS!J34/1000</f>
        <v>0</v>
      </c>
      <c r="F38" s="238">
        <f t="shared" si="6"/>
        <v>0</v>
      </c>
      <c r="G38" s="40"/>
      <c r="H38" s="238">
        <f t="shared" si="8"/>
        <v>0</v>
      </c>
      <c r="I38" s="238">
        <f t="shared" si="9"/>
        <v>0</v>
      </c>
      <c r="J38" s="238">
        <f t="shared" si="7"/>
        <v>0</v>
      </c>
      <c r="S38" s="237"/>
    </row>
    <row r="39" spans="1:19" ht="15">
      <c r="A39" s="237" t="s">
        <v>336</v>
      </c>
      <c r="B39" s="237" t="s">
        <v>279</v>
      </c>
      <c r="C39" s="237"/>
      <c r="D39" s="238">
        <f>EESRFS!C38+EESRFS!D38+EESRFS!E38+EESRFS!F38</f>
        <v>0</v>
      </c>
      <c r="E39" s="238">
        <f>EESRFS!J35/1000</f>
        <v>0</v>
      </c>
      <c r="F39" s="238">
        <f t="shared" si="6"/>
        <v>0</v>
      </c>
      <c r="G39" s="40"/>
      <c r="H39" s="238">
        <f t="shared" si="8"/>
        <v>0</v>
      </c>
      <c r="I39" s="238">
        <f t="shared" si="9"/>
        <v>0</v>
      </c>
      <c r="J39" s="238">
        <f t="shared" si="7"/>
        <v>0</v>
      </c>
      <c r="S39" s="237"/>
    </row>
    <row r="40" spans="1:19" ht="15">
      <c r="A40" s="237" t="s">
        <v>283</v>
      </c>
      <c r="B40" s="237" t="s">
        <v>278</v>
      </c>
      <c r="C40" s="237"/>
      <c r="D40" s="243">
        <f>EESRFS!C39+EESRFS!D39+EESRFS!E39+EESRFS!F39</f>
        <v>0</v>
      </c>
      <c r="E40" s="238">
        <f>EESRFS!J36/1000</f>
        <v>0</v>
      </c>
      <c r="F40" s="238">
        <f t="shared" si="6"/>
        <v>0</v>
      </c>
      <c r="G40" s="40"/>
      <c r="H40" s="238">
        <f t="shared" si="8"/>
        <v>0</v>
      </c>
      <c r="I40" s="238">
        <f t="shared" si="9"/>
        <v>0</v>
      </c>
      <c r="J40" s="238">
        <f t="shared" si="7"/>
        <v>0</v>
      </c>
      <c r="S40" s="237"/>
    </row>
    <row r="41" spans="1:19" ht="15">
      <c r="A41" s="237" t="s">
        <v>284</v>
      </c>
      <c r="B41" s="237" t="s">
        <v>274</v>
      </c>
      <c r="C41" s="237"/>
      <c r="D41" s="243">
        <f>Facilities!I30</f>
        <v>0</v>
      </c>
      <c r="E41" s="243">
        <f>Facilities!I33</f>
        <v>0</v>
      </c>
      <c r="F41" s="238">
        <f t="shared" si="6"/>
        <v>0</v>
      </c>
      <c r="H41" s="238">
        <f t="shared" si="8"/>
        <v>0</v>
      </c>
      <c r="I41" s="238">
        <f t="shared" si="9"/>
        <v>0</v>
      </c>
      <c r="J41" s="238">
        <f t="shared" si="7"/>
        <v>0</v>
      </c>
      <c r="S41" s="237"/>
    </row>
    <row r="42" spans="2:10" ht="15.75" thickBot="1">
      <c r="B42" s="98"/>
      <c r="C42" s="98"/>
      <c r="D42" s="270"/>
      <c r="E42" s="270"/>
      <c r="F42" s="270"/>
      <c r="H42" s="270"/>
      <c r="I42" s="270"/>
      <c r="J42" s="270"/>
    </row>
    <row r="43" spans="2:10" ht="15">
      <c r="B43" s="33" t="s">
        <v>163</v>
      </c>
      <c r="C43" s="251">
        <f>SUM(C29:C41)</f>
        <v>0.5</v>
      </c>
      <c r="D43" s="249">
        <f>SUM(D29:D41)</f>
        <v>62.41610738255034</v>
      </c>
      <c r="E43" s="249">
        <f>SUM(E29:E41)</f>
        <v>42.5</v>
      </c>
      <c r="F43" s="249">
        <f>SUM(F29:F41)</f>
        <v>104.91610738255034</v>
      </c>
      <c r="H43" s="249">
        <f>SUM(H29:H41)</f>
        <v>94.43557046979865</v>
      </c>
      <c r="I43" s="249">
        <f>SUM(I29:I41)</f>
        <v>64.3025</v>
      </c>
      <c r="J43" s="249">
        <f>SUM(J29:J41)</f>
        <v>158.73807046979863</v>
      </c>
    </row>
    <row r="44" spans="4:10" ht="59.25" customHeight="1">
      <c r="D44" s="242"/>
      <c r="E44" s="242"/>
      <c r="F44" s="242"/>
      <c r="H44" s="242"/>
      <c r="I44" s="242"/>
      <c r="J44" s="242"/>
    </row>
    <row r="45" spans="1:10" ht="30">
      <c r="A45" s="293" t="s">
        <v>387</v>
      </c>
      <c r="B45" s="237"/>
      <c r="C45" s="264" t="s">
        <v>302</v>
      </c>
      <c r="D45" s="240" t="s">
        <v>140</v>
      </c>
      <c r="E45" s="240" t="s">
        <v>327</v>
      </c>
      <c r="F45" s="240" t="s">
        <v>163</v>
      </c>
      <c r="H45" s="240" t="s">
        <v>140</v>
      </c>
      <c r="I45" s="240" t="s">
        <v>327</v>
      </c>
      <c r="J45" s="240" t="s">
        <v>163</v>
      </c>
    </row>
    <row r="46" spans="2:11" ht="15">
      <c r="B46" s="240" t="s">
        <v>325</v>
      </c>
      <c r="C46" s="264">
        <f>3.534+0.136</f>
        <v>3.67</v>
      </c>
      <c r="D46" s="241">
        <f>445.353+17.184</f>
        <v>462.53700000000003</v>
      </c>
      <c r="E46" s="241">
        <f>357+121.951</f>
        <v>478.951</v>
      </c>
      <c r="F46" s="241">
        <f>SUM(D46:E46)</f>
        <v>941.488</v>
      </c>
      <c r="H46" s="241">
        <v>682.705</v>
      </c>
      <c r="I46" s="241">
        <v>671.232</v>
      </c>
      <c r="J46" s="241">
        <f>SUM(H46:I46)</f>
        <v>1353.937</v>
      </c>
      <c r="K46" s="294">
        <v>0.476</v>
      </c>
    </row>
    <row r="47" spans="2:11" ht="15">
      <c r="B47" s="240" t="s">
        <v>324</v>
      </c>
      <c r="C47" s="240">
        <f>2.227+0.273</f>
        <v>2.5</v>
      </c>
      <c r="D47" s="241">
        <f>278.035+34.045</f>
        <v>312.08000000000004</v>
      </c>
      <c r="E47" s="241">
        <f>409+148.097</f>
        <v>557.097</v>
      </c>
      <c r="F47" s="241">
        <f>SUM(D47:E47)</f>
        <v>869.177</v>
      </c>
      <c r="H47" s="241">
        <v>465</v>
      </c>
      <c r="I47" s="241">
        <v>830.074</v>
      </c>
      <c r="J47" s="241">
        <f>SUM(H47:I47)</f>
        <v>1295.074</v>
      </c>
      <c r="K47" s="294">
        <v>0.49</v>
      </c>
    </row>
    <row r="48" spans="2:10" ht="15.75" thickBot="1">
      <c r="B48" s="268" t="s">
        <v>326</v>
      </c>
      <c r="C48" s="268">
        <v>0</v>
      </c>
      <c r="D48" s="269">
        <v>0</v>
      </c>
      <c r="E48" s="269">
        <v>0</v>
      </c>
      <c r="F48" s="269">
        <f>SUM(D48:E48)</f>
        <v>0</v>
      </c>
      <c r="G48" s="40"/>
      <c r="H48" s="269">
        <v>0</v>
      </c>
      <c r="I48" s="269">
        <v>0</v>
      </c>
      <c r="J48" s="269">
        <f>SUM(H48:I48)</f>
        <v>0</v>
      </c>
    </row>
    <row r="49" spans="2:10" ht="15">
      <c r="B49" s="265" t="s">
        <v>163</v>
      </c>
      <c r="C49" s="266">
        <f>SUM(C46:C48)</f>
        <v>6.17</v>
      </c>
      <c r="D49" s="267">
        <f>SUM(D46:D48)</f>
        <v>774.6170000000001</v>
      </c>
      <c r="E49" s="267">
        <f aca="true" t="shared" si="10" ref="E49:F49">SUM(E46:E48)</f>
        <v>1036.048</v>
      </c>
      <c r="F49" s="267">
        <f t="shared" si="10"/>
        <v>1810.665</v>
      </c>
      <c r="G49" s="40"/>
      <c r="H49" s="267">
        <f>I43</f>
        <v>64.3025</v>
      </c>
      <c r="I49" s="267">
        <f aca="true" t="shared" si="11" ref="I49:J49">SUM(I46:I48)</f>
        <v>1501.306</v>
      </c>
      <c r="J49" s="267">
        <f t="shared" si="11"/>
        <v>2649.011</v>
      </c>
    </row>
    <row r="50" ht="15">
      <c r="G50" s="40"/>
    </row>
    <row r="51" ht="15">
      <c r="G51" s="40"/>
    </row>
    <row r="52" spans="1:10" ht="15">
      <c r="A52" s="33" t="s">
        <v>353</v>
      </c>
      <c r="B52" s="237"/>
      <c r="C52" s="264" t="s">
        <v>302</v>
      </c>
      <c r="D52" s="240" t="s">
        <v>140</v>
      </c>
      <c r="E52" s="240" t="s">
        <v>327</v>
      </c>
      <c r="F52" s="240" t="s">
        <v>163</v>
      </c>
      <c r="G52" s="40"/>
      <c r="H52" s="240" t="s">
        <v>140</v>
      </c>
      <c r="I52" s="240" t="s">
        <v>327</v>
      </c>
      <c r="J52" s="240" t="s">
        <v>163</v>
      </c>
    </row>
    <row r="53" spans="2:10" ht="15">
      <c r="B53" s="240" t="s">
        <v>325</v>
      </c>
      <c r="C53" s="264">
        <f>C7</f>
        <v>1.22</v>
      </c>
      <c r="D53" s="241">
        <v>160.322</v>
      </c>
      <c r="E53" s="241">
        <v>189.48</v>
      </c>
      <c r="F53" s="241">
        <f>SUM(D53:E53)</f>
        <v>349.802</v>
      </c>
      <c r="H53" s="241">
        <f>H7</f>
        <v>233.08166417600003</v>
      </c>
      <c r="I53" s="241">
        <f>I7</f>
        <v>274.29271151999995</v>
      </c>
      <c r="J53" s="241">
        <f>SUM(H53:I53)</f>
        <v>507.374375696</v>
      </c>
    </row>
    <row r="54" spans="2:10" ht="15">
      <c r="B54" s="240" t="s">
        <v>324</v>
      </c>
      <c r="C54" s="264">
        <f>C25</f>
        <v>14.750727272727271</v>
      </c>
      <c r="D54" s="241">
        <f>D25</f>
        <v>1636.636</v>
      </c>
      <c r="E54" s="241">
        <f>E25</f>
        <v>1328.5005</v>
      </c>
      <c r="F54" s="241">
        <f>SUM(D54:E54)</f>
        <v>2965.1365</v>
      </c>
      <c r="H54" s="241">
        <f>H25</f>
        <v>2438.58764</v>
      </c>
      <c r="I54" s="241">
        <f>I25</f>
        <v>1976.7780950000001</v>
      </c>
      <c r="J54" s="241">
        <f>SUM(H54:I54)</f>
        <v>4415.365735</v>
      </c>
    </row>
    <row r="55" spans="2:10" ht="15.75" thickBot="1">
      <c r="B55" s="268" t="s">
        <v>326</v>
      </c>
      <c r="C55" s="268">
        <f>C43</f>
        <v>0.5</v>
      </c>
      <c r="D55" s="269">
        <f>D43</f>
        <v>62.41610738255034</v>
      </c>
      <c r="E55" s="269">
        <f>E43</f>
        <v>42.5</v>
      </c>
      <c r="F55" s="269">
        <f>SUM(D55:E55)</f>
        <v>104.91610738255034</v>
      </c>
      <c r="H55" s="269">
        <f>H43</f>
        <v>94.43557046979865</v>
      </c>
      <c r="I55" s="269">
        <f>I43</f>
        <v>64.3025</v>
      </c>
      <c r="J55" s="269">
        <f>SUM(H55:I55)</f>
        <v>158.73807046979863</v>
      </c>
    </row>
    <row r="56" spans="2:10" ht="15">
      <c r="B56" s="265" t="s">
        <v>163</v>
      </c>
      <c r="C56" s="266">
        <f>SUM(C53:C55)</f>
        <v>16.470727272727274</v>
      </c>
      <c r="D56" s="267">
        <f>SUM(D53:D55)</f>
        <v>1859.3741073825504</v>
      </c>
      <c r="E56" s="267">
        <f>SUM(E53:E55)</f>
        <v>1560.4805000000001</v>
      </c>
      <c r="F56" s="267">
        <f>SUM(D56:E56)</f>
        <v>3419.8546073825505</v>
      </c>
      <c r="H56" s="267">
        <f>SUM(H53:H55)</f>
        <v>2766.104874645799</v>
      </c>
      <c r="I56" s="267">
        <f>SUM(I53:I55)</f>
        <v>2315.37330652</v>
      </c>
      <c r="J56" s="267">
        <f>SUM(H56:I56)</f>
        <v>5081.4781811657995</v>
      </c>
    </row>
    <row r="58" spans="1:10" ht="15">
      <c r="A58" s="33" t="s">
        <v>388</v>
      </c>
      <c r="C58" s="296">
        <f aca="true" t="shared" si="12" ref="C58:I58">C49-C56</f>
        <v>-10.300727272727274</v>
      </c>
      <c r="D58" s="295">
        <f t="shared" si="12"/>
        <v>-1084.7571073825502</v>
      </c>
      <c r="E58" s="295">
        <f t="shared" si="12"/>
        <v>-524.4325000000001</v>
      </c>
      <c r="F58" s="295">
        <f t="shared" si="12"/>
        <v>-1609.1896073825505</v>
      </c>
      <c r="G58" s="295">
        <f t="shared" si="12"/>
        <v>0</v>
      </c>
      <c r="H58" s="295">
        <f t="shared" si="12"/>
        <v>-2701.8023746457993</v>
      </c>
      <c r="I58" s="295">
        <f t="shared" si="12"/>
        <v>-814.0673065199999</v>
      </c>
      <c r="J58" s="295">
        <f>J49-J56</f>
        <v>-2432.4671811657995</v>
      </c>
    </row>
    <row r="59" spans="1:10" ht="15">
      <c r="A59" s="33"/>
      <c r="G59" s="40"/>
      <c r="J59" s="295"/>
    </row>
    <row r="60" ht="15">
      <c r="A60" s="273" t="s">
        <v>362</v>
      </c>
    </row>
    <row r="61" ht="15">
      <c r="A61" s="272" t="s">
        <v>363</v>
      </c>
    </row>
    <row r="62" ht="15">
      <c r="A62" s="48" t="s">
        <v>364</v>
      </c>
    </row>
  </sheetData>
  <mergeCells count="2">
    <mergeCell ref="D5:F5"/>
    <mergeCell ref="H5:J5"/>
  </mergeCells>
  <printOptions/>
  <pageMargins left="0.25" right="0.25" top="0.25" bottom="0.5" header="0.3" footer="0.3"/>
  <pageSetup fitToHeight="1" fitToWidth="1" horizontalDpi="600" verticalDpi="600" orientation="portrait" scale="81" r:id="rId3"/>
  <headerFooter>
    <oddHeader>&amp;C&amp;"-,Bold"&amp;12Upgrade Injector Test Facilty Estimate as of 4-29-15</oddHeader>
    <oddFooter>&amp;L&amp;8&amp;Z&amp;F,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 topLeftCell="A10">
      <selection activeCell="A65" sqref="A65"/>
    </sheetView>
  </sheetViews>
  <sheetFormatPr defaultColWidth="9.140625" defaultRowHeight="15"/>
  <cols>
    <col min="1" max="1" width="17.28125" style="0" bestFit="1" customWidth="1"/>
    <col min="2" max="2" width="18.140625" style="0" bestFit="1" customWidth="1"/>
    <col min="3" max="3" width="6.00390625" style="40" bestFit="1" customWidth="1"/>
    <col min="4" max="4" width="10.7109375" style="0" bestFit="1" customWidth="1"/>
    <col min="5" max="5" width="11.140625" style="0" bestFit="1" customWidth="1"/>
    <col min="6" max="6" width="10.57421875" style="0" bestFit="1" customWidth="1"/>
    <col min="7" max="7" width="71.28125" style="0" bestFit="1" customWidth="1"/>
  </cols>
  <sheetData>
    <row r="1" ht="15">
      <c r="A1" s="33" t="s">
        <v>358</v>
      </c>
    </row>
    <row r="2" s="40" customFormat="1" ht="15">
      <c r="A2" s="33"/>
    </row>
    <row r="3" s="40" customFormat="1" ht="15">
      <c r="A3" s="33" t="s">
        <v>356</v>
      </c>
    </row>
    <row r="4" spans="1:7" ht="15">
      <c r="A4" s="236" t="s">
        <v>300</v>
      </c>
      <c r="B4" s="236" t="s">
        <v>359</v>
      </c>
      <c r="C4" s="236" t="s">
        <v>302</v>
      </c>
      <c r="D4" s="240" t="s">
        <v>140</v>
      </c>
      <c r="E4" s="240" t="s">
        <v>327</v>
      </c>
      <c r="F4" s="240" t="s">
        <v>163</v>
      </c>
      <c r="G4" s="236" t="s">
        <v>222</v>
      </c>
    </row>
    <row r="5" spans="1:7" s="40" customFormat="1" ht="15">
      <c r="A5" s="237"/>
      <c r="B5" s="237"/>
      <c r="C5" s="261">
        <f>53.68/44</f>
        <v>1.22</v>
      </c>
      <c r="D5" s="271">
        <v>160.322</v>
      </c>
      <c r="E5" s="271">
        <v>189.48</v>
      </c>
      <c r="F5" s="271">
        <f>SUM(D5:E5)</f>
        <v>349.802</v>
      </c>
      <c r="G5" s="237" t="s">
        <v>354</v>
      </c>
    </row>
    <row r="6" s="40" customFormat="1" ht="15">
      <c r="C6" s="59"/>
    </row>
    <row r="7" spans="1:3" ht="15">
      <c r="A7" s="33" t="s">
        <v>357</v>
      </c>
      <c r="C7" s="59"/>
    </row>
    <row r="8" spans="1:7" ht="15">
      <c r="A8" s="236" t="s">
        <v>300</v>
      </c>
      <c r="B8" s="236" t="s">
        <v>359</v>
      </c>
      <c r="C8" s="264" t="s">
        <v>302</v>
      </c>
      <c r="D8" s="240" t="s">
        <v>140</v>
      </c>
      <c r="E8" s="240" t="s">
        <v>327</v>
      </c>
      <c r="F8" s="240" t="s">
        <v>163</v>
      </c>
      <c r="G8" s="236" t="s">
        <v>222</v>
      </c>
    </row>
    <row r="9" spans="1:7" ht="15">
      <c r="A9" s="244" t="s">
        <v>40</v>
      </c>
      <c r="B9" s="244" t="s">
        <v>285</v>
      </c>
      <c r="C9" s="262">
        <f>MSSURV!B33</f>
        <v>0.5034090909090909</v>
      </c>
      <c r="D9" s="245">
        <f>MSSURV!H36+MSSURV!M36</f>
        <v>68.11</v>
      </c>
      <c r="E9" s="245">
        <v>0</v>
      </c>
      <c r="F9" s="245">
        <f>SUM(D9:E9)</f>
        <v>68.11</v>
      </c>
      <c r="G9" s="244"/>
    </row>
    <row r="10" spans="1:7" s="40" customFormat="1" ht="15">
      <c r="A10" s="247" t="s">
        <v>60</v>
      </c>
      <c r="B10" s="247" t="s">
        <v>328</v>
      </c>
      <c r="C10" s="263">
        <f>EESICS!B24</f>
        <v>0.9295454545454546</v>
      </c>
      <c r="D10" s="248">
        <f>EESICS!G21+EESICS!L21</f>
        <v>88.56</v>
      </c>
      <c r="E10" s="248">
        <f>EESICS!E46</f>
        <v>98</v>
      </c>
      <c r="F10" s="248">
        <f>SUM(D10:E10)</f>
        <v>186.56</v>
      </c>
      <c r="G10" s="247" t="s">
        <v>334</v>
      </c>
    </row>
    <row r="11" spans="1:7" ht="15">
      <c r="A11" s="244" t="s">
        <v>37</v>
      </c>
      <c r="B11" s="244" t="s">
        <v>37</v>
      </c>
      <c r="C11" s="262">
        <f>EESRFS!B8</f>
        <v>4.036363636363636</v>
      </c>
      <c r="D11" s="245">
        <f>EESRFS!C11+EESRFS!D11+EESRFS!E11+EESRFS!F11</f>
        <v>468.245</v>
      </c>
      <c r="E11" s="245">
        <f>EESRFS!J8/1000</f>
        <v>252.5</v>
      </c>
      <c r="F11" s="245">
        <f>SUM(D11:E11)</f>
        <v>720.745</v>
      </c>
      <c r="G11" s="244" t="s">
        <v>330</v>
      </c>
    </row>
    <row r="12" spans="1:7" ht="15">
      <c r="A12" s="244" t="s">
        <v>75</v>
      </c>
      <c r="B12" s="244" t="s">
        <v>275</v>
      </c>
      <c r="C12" s="262">
        <f>'EESDCP 4-22-15'!B18</f>
        <v>0.3318181818181818</v>
      </c>
      <c r="D12" s="245">
        <f>'EESDCP 4-22-15'!B20</f>
        <v>31.657</v>
      </c>
      <c r="E12" s="245">
        <f>'EESDCP 4-22-15'!F32</f>
        <v>144.5</v>
      </c>
      <c r="F12" s="245">
        <f>SUM(D12:E12)</f>
        <v>176.157</v>
      </c>
      <c r="G12" s="244"/>
    </row>
    <row r="13" spans="1:7" s="40" customFormat="1" ht="15">
      <c r="A13" s="247" t="s">
        <v>36</v>
      </c>
      <c r="B13" s="247" t="s">
        <v>276</v>
      </c>
      <c r="C13" s="263"/>
      <c r="D13" s="248"/>
      <c r="E13" s="248"/>
      <c r="F13" s="248"/>
      <c r="G13" s="247" t="s">
        <v>333</v>
      </c>
    </row>
    <row r="14" spans="1:7" ht="15">
      <c r="A14" s="247" t="s">
        <v>36</v>
      </c>
      <c r="B14" s="247" t="s">
        <v>280</v>
      </c>
      <c r="C14" s="263"/>
      <c r="D14" s="248"/>
      <c r="E14" s="248"/>
      <c r="F14" s="248">
        <f aca="true" t="shared" si="0" ref="F14:F21">SUM(D14:E14)</f>
        <v>0</v>
      </c>
      <c r="G14" s="247"/>
    </row>
    <row r="15" spans="1:7" ht="15">
      <c r="A15" s="244" t="s">
        <v>36</v>
      </c>
      <c r="B15" s="244" t="s">
        <v>281</v>
      </c>
      <c r="C15" s="262">
        <f>'EESSAF-ODH 4-22-15'!F16</f>
        <v>0.30454545454545456</v>
      </c>
      <c r="D15" s="245">
        <f>'EESSAF-ODH 4-22-15'!D17</f>
        <v>26.962</v>
      </c>
      <c r="E15" s="245">
        <f>'EESSAF-ODH 4-22-15'!D18</f>
        <v>10.6665</v>
      </c>
      <c r="F15" s="245">
        <f t="shared" si="0"/>
        <v>37.6285</v>
      </c>
      <c r="G15" s="244"/>
    </row>
    <row r="16" spans="1:7" ht="15">
      <c r="A16" s="244" t="s">
        <v>76</v>
      </c>
      <c r="B16" s="244" t="s">
        <v>277</v>
      </c>
      <c r="C16" s="262">
        <f>MSCRYO!G35</f>
        <v>1.9650000000000003</v>
      </c>
      <c r="D16" s="245">
        <f>MSCRYO!H35</f>
        <v>1.9650000000000003</v>
      </c>
      <c r="E16" s="245">
        <f>MSCRYO!I38</f>
        <v>48</v>
      </c>
      <c r="F16" s="245">
        <f t="shared" si="0"/>
        <v>49.965</v>
      </c>
      <c r="G16" s="244" t="s">
        <v>331</v>
      </c>
    </row>
    <row r="17" spans="1:7" ht="15">
      <c r="A17" s="244" t="s">
        <v>340</v>
      </c>
      <c r="B17" s="244" t="s">
        <v>341</v>
      </c>
      <c r="C17" s="262">
        <f>MSMECH!G14</f>
        <v>1.4999999999999998</v>
      </c>
      <c r="D17" s="245">
        <f>MSMECH!H14</f>
        <v>194.91299999999998</v>
      </c>
      <c r="E17" s="245">
        <v>0</v>
      </c>
      <c r="F17" s="245">
        <f t="shared" si="0"/>
        <v>194.91299999999998</v>
      </c>
      <c r="G17" s="244"/>
    </row>
    <row r="18" spans="1:7" ht="15">
      <c r="A18" s="247" t="s">
        <v>282</v>
      </c>
      <c r="B18" s="247" t="s">
        <v>329</v>
      </c>
      <c r="C18" s="263">
        <f>OPSSFT!G12</f>
        <v>1.2227272727272729</v>
      </c>
      <c r="D18" s="248">
        <f>OPSSFT!H11</f>
        <v>37.055</v>
      </c>
      <c r="E18" s="248">
        <f>OPSSFT!H16</f>
        <v>58</v>
      </c>
      <c r="F18" s="248">
        <f t="shared" si="0"/>
        <v>95.055</v>
      </c>
      <c r="G18" s="247"/>
    </row>
    <row r="19" spans="1:7" ht="15">
      <c r="A19" s="244" t="s">
        <v>336</v>
      </c>
      <c r="B19" s="244" t="s">
        <v>279</v>
      </c>
      <c r="C19" s="262">
        <f>SRFOPS!G7</f>
        <v>0.091</v>
      </c>
      <c r="D19" s="245">
        <f>OPSSFT!H11</f>
        <v>37.055</v>
      </c>
      <c r="E19" s="245">
        <f>SRFOPS!H11</f>
        <v>0</v>
      </c>
      <c r="F19" s="245">
        <f t="shared" si="0"/>
        <v>37.055</v>
      </c>
      <c r="G19" s="244"/>
    </row>
    <row r="20" spans="1:7" ht="15">
      <c r="A20" s="247" t="s">
        <v>283</v>
      </c>
      <c r="B20" s="247" t="s">
        <v>278</v>
      </c>
      <c r="C20" s="263" t="e">
        <f>#REF!</f>
        <v>#REF!</v>
      </c>
      <c r="D20" s="248" t="e">
        <f>#REF!</f>
        <v>#REF!</v>
      </c>
      <c r="E20" s="248" t="e">
        <f>#REF!</f>
        <v>#REF!</v>
      </c>
      <c r="F20" s="248" t="e">
        <f t="shared" si="0"/>
        <v>#REF!</v>
      </c>
      <c r="G20" s="247" t="s">
        <v>351</v>
      </c>
    </row>
    <row r="21" spans="1:7" s="40" customFormat="1" ht="15">
      <c r="A21" s="244" t="s">
        <v>284</v>
      </c>
      <c r="B21" s="244" t="s">
        <v>274</v>
      </c>
      <c r="C21" s="262">
        <f>Facilities!H12</f>
        <v>0.772</v>
      </c>
      <c r="D21" s="245">
        <f>Facilities!I12</f>
        <v>104.911</v>
      </c>
      <c r="E21" s="245">
        <v>300</v>
      </c>
      <c r="F21" s="245">
        <f t="shared" si="0"/>
        <v>404.911</v>
      </c>
      <c r="G21" s="244" t="s">
        <v>332</v>
      </c>
    </row>
    <row r="22" spans="1:7" s="40" customFormat="1" ht="15.75" thickBot="1">
      <c r="A22"/>
      <c r="B22" s="98"/>
      <c r="C22" s="98"/>
      <c r="D22" s="270"/>
      <c r="E22" s="270"/>
      <c r="F22" s="270"/>
      <c r="G22"/>
    </row>
    <row r="23" spans="1:7" s="40" customFormat="1" ht="15">
      <c r="A23"/>
      <c r="B23" s="33" t="s">
        <v>163</v>
      </c>
      <c r="C23" s="251" t="e">
        <f>SUM(C9:C21)</f>
        <v>#REF!</v>
      </c>
      <c r="D23" s="249" t="e">
        <f>SUM(D9:D21)</f>
        <v>#REF!</v>
      </c>
      <c r="E23" s="249" t="e">
        <f>SUM(E9:E21)</f>
        <v>#REF!</v>
      </c>
      <c r="F23" s="249" t="e">
        <f>SUM(F9:F21)</f>
        <v>#REF!</v>
      </c>
      <c r="G23"/>
    </row>
    <row r="24" spans="1:7" s="40" customFormat="1" ht="15">
      <c r="A24"/>
      <c r="B24"/>
      <c r="D24"/>
      <c r="E24"/>
      <c r="F24" s="187"/>
      <c r="G24"/>
    </row>
    <row r="25" spans="1:4" s="40" customFormat="1" ht="15">
      <c r="A25" s="33" t="s">
        <v>355</v>
      </c>
      <c r="D25" s="40" t="s">
        <v>365</v>
      </c>
    </row>
    <row r="26" spans="1:7" s="40" customFormat="1" ht="15">
      <c r="A26" s="236" t="s">
        <v>300</v>
      </c>
      <c r="B26" s="236" t="s">
        <v>359</v>
      </c>
      <c r="C26" s="264" t="s">
        <v>302</v>
      </c>
      <c r="D26" s="240" t="s">
        <v>140</v>
      </c>
      <c r="E26" s="240" t="s">
        <v>327</v>
      </c>
      <c r="F26" s="240" t="s">
        <v>163</v>
      </c>
      <c r="G26" s="236" t="s">
        <v>222</v>
      </c>
    </row>
    <row r="27" spans="1:7" s="40" customFormat="1" ht="15">
      <c r="A27" s="237" t="s">
        <v>40</v>
      </c>
      <c r="B27" s="237" t="s">
        <v>285</v>
      </c>
      <c r="C27" s="237"/>
      <c r="D27" s="238">
        <f>MSSURV!H63+MSSURV!M63</f>
        <v>0</v>
      </c>
      <c r="E27" s="238">
        <v>0</v>
      </c>
      <c r="F27" s="238">
        <f aca="true" t="shared" si="1" ref="F27:F39">SUM(D27:E27)</f>
        <v>0</v>
      </c>
      <c r="G27" s="237"/>
    </row>
    <row r="28" spans="1:7" s="40" customFormat="1" ht="15">
      <c r="A28" s="237" t="s">
        <v>60</v>
      </c>
      <c r="B28" s="237" t="s">
        <v>328</v>
      </c>
      <c r="C28" s="237"/>
      <c r="D28" s="238">
        <f>EESICS!G40+EESICS!L40</f>
        <v>0</v>
      </c>
      <c r="E28" s="238">
        <f>EESICS!E64</f>
        <v>0</v>
      </c>
      <c r="F28" s="238">
        <f t="shared" si="1"/>
        <v>0</v>
      </c>
      <c r="G28" s="237"/>
    </row>
    <row r="29" spans="1:7" s="40" customFormat="1" ht="15">
      <c r="A29" s="237" t="s">
        <v>37</v>
      </c>
      <c r="B29" s="237" t="s">
        <v>37</v>
      </c>
      <c r="C29" s="237"/>
      <c r="D29" s="238">
        <f>EESRFS!C31+EESRFS!D31+EESRFS!E31+EESRFS!F31</f>
        <v>0</v>
      </c>
      <c r="E29" s="238">
        <f>EESRFS!J28/1000</f>
        <v>0</v>
      </c>
      <c r="F29" s="238">
        <f t="shared" si="1"/>
        <v>0</v>
      </c>
      <c r="G29" s="237"/>
    </row>
    <row r="30" spans="1:7" s="40" customFormat="1" ht="15">
      <c r="A30" s="237" t="s">
        <v>75</v>
      </c>
      <c r="B30" s="237" t="s">
        <v>275</v>
      </c>
      <c r="C30" s="237"/>
      <c r="D30" s="238">
        <f>EESRFS!C32+EESRFS!D32+EESRFS!E32+EESRFS!F32</f>
        <v>0</v>
      </c>
      <c r="E30" s="238">
        <f>EESRFS!J29/1000</f>
        <v>0</v>
      </c>
      <c r="F30" s="238">
        <f t="shared" si="1"/>
        <v>0</v>
      </c>
      <c r="G30" s="237"/>
    </row>
    <row r="31" spans="1:7" s="40" customFormat="1" ht="15">
      <c r="A31" s="237" t="s">
        <v>36</v>
      </c>
      <c r="B31" s="237" t="s">
        <v>276</v>
      </c>
      <c r="C31" s="237"/>
      <c r="D31" s="238">
        <f>EESRFS!C33+EESRFS!D33+EESRFS!E33+EESRFS!F33</f>
        <v>0</v>
      </c>
      <c r="E31" s="238">
        <f>EESRFS!J30/1000</f>
        <v>0</v>
      </c>
      <c r="F31" s="238">
        <f t="shared" si="1"/>
        <v>0</v>
      </c>
      <c r="G31" s="237"/>
    </row>
    <row r="32" spans="1:7" s="40" customFormat="1" ht="15">
      <c r="A32" s="237" t="s">
        <v>36</v>
      </c>
      <c r="B32" s="237" t="s">
        <v>280</v>
      </c>
      <c r="C32" s="237"/>
      <c r="D32" s="238">
        <f>EESRFS!C34+EESRFS!D34+EESRFS!E34+EESRFS!F34</f>
        <v>0</v>
      </c>
      <c r="E32" s="238">
        <f>EESRFS!J31/1000</f>
        <v>0</v>
      </c>
      <c r="F32" s="238">
        <f t="shared" si="1"/>
        <v>0</v>
      </c>
      <c r="G32" s="237"/>
    </row>
    <row r="33" spans="1:7" s="40" customFormat="1" ht="15">
      <c r="A33" s="237" t="s">
        <v>36</v>
      </c>
      <c r="B33" s="237" t="s">
        <v>281</v>
      </c>
      <c r="C33" s="237"/>
      <c r="D33" s="238">
        <f>EESRFS!C36+EESRFS!D36+EESRFS!E36+EESRFS!F36</f>
        <v>0</v>
      </c>
      <c r="E33" s="238">
        <f>EESRFS!J33/1000</f>
        <v>0</v>
      </c>
      <c r="F33" s="238">
        <f t="shared" si="1"/>
        <v>0</v>
      </c>
      <c r="G33" s="237"/>
    </row>
    <row r="34" spans="1:7" s="40" customFormat="1" ht="15">
      <c r="A34" s="237" t="s">
        <v>76</v>
      </c>
      <c r="B34" s="237" t="s">
        <v>277</v>
      </c>
      <c r="C34" s="237">
        <v>0.5</v>
      </c>
      <c r="D34" s="238">
        <f>(186/1.49)/2</f>
        <v>62.41610738255034</v>
      </c>
      <c r="E34" s="238">
        <v>42.5</v>
      </c>
      <c r="F34" s="238">
        <f t="shared" si="1"/>
        <v>104.91610738255034</v>
      </c>
      <c r="G34" s="237" t="s">
        <v>348</v>
      </c>
    </row>
    <row r="35" spans="1:7" s="40" customFormat="1" ht="15">
      <c r="A35" s="237" t="s">
        <v>340</v>
      </c>
      <c r="B35" s="237" t="s">
        <v>341</v>
      </c>
      <c r="C35" s="237"/>
      <c r="D35" s="238">
        <f>MSMECH!H33</f>
        <v>0</v>
      </c>
      <c r="E35" s="238">
        <v>0</v>
      </c>
      <c r="F35" s="238">
        <f t="shared" si="1"/>
        <v>0</v>
      </c>
      <c r="G35" s="237"/>
    </row>
    <row r="36" spans="1:7" s="40" customFormat="1" ht="15">
      <c r="A36" s="237" t="s">
        <v>282</v>
      </c>
      <c r="B36" s="237" t="s">
        <v>329</v>
      </c>
      <c r="C36" s="237"/>
      <c r="D36" s="238">
        <f>EESRFS!C37+EESRFS!D37+EESRFS!E37+EESRFS!F37</f>
        <v>0</v>
      </c>
      <c r="E36" s="238">
        <f>EESRFS!J34/1000</f>
        <v>0</v>
      </c>
      <c r="F36" s="238">
        <f t="shared" si="1"/>
        <v>0</v>
      </c>
      <c r="G36" s="237"/>
    </row>
    <row r="37" spans="1:7" s="40" customFormat="1" ht="15">
      <c r="A37" s="237" t="s">
        <v>336</v>
      </c>
      <c r="B37" s="237" t="s">
        <v>279</v>
      </c>
      <c r="C37" s="237"/>
      <c r="D37" s="238">
        <f>EESRFS!C38+EESRFS!D38+EESRFS!E38+EESRFS!F38</f>
        <v>0</v>
      </c>
      <c r="E37" s="238">
        <f>EESRFS!J35/1000</f>
        <v>0</v>
      </c>
      <c r="F37" s="238">
        <f t="shared" si="1"/>
        <v>0</v>
      </c>
      <c r="G37" s="237"/>
    </row>
    <row r="38" spans="1:7" s="40" customFormat="1" ht="15">
      <c r="A38" s="237" t="s">
        <v>283</v>
      </c>
      <c r="B38" s="237" t="s">
        <v>278</v>
      </c>
      <c r="C38" s="237"/>
      <c r="D38" s="238">
        <f>EESRFS!C39+EESRFS!D39+EESRFS!E39+EESRFS!F39</f>
        <v>0</v>
      </c>
      <c r="E38" s="238">
        <f>EESRFS!J36/1000</f>
        <v>0</v>
      </c>
      <c r="F38" s="238">
        <f t="shared" si="1"/>
        <v>0</v>
      </c>
      <c r="G38" s="237"/>
    </row>
    <row r="39" spans="1:7" ht="15">
      <c r="A39" s="237" t="s">
        <v>284</v>
      </c>
      <c r="B39" s="237" t="s">
        <v>274</v>
      </c>
      <c r="C39" s="237"/>
      <c r="D39" s="243">
        <f>Facilities!I30</f>
        <v>0</v>
      </c>
      <c r="E39" s="243">
        <f>Facilities!I33</f>
        <v>0</v>
      </c>
      <c r="F39" s="238">
        <f t="shared" si="1"/>
        <v>0</v>
      </c>
      <c r="G39" s="237"/>
    </row>
    <row r="40" spans="1:7" ht="15.75" thickBot="1">
      <c r="A40" s="40"/>
      <c r="B40" s="98"/>
      <c r="C40" s="98"/>
      <c r="D40" s="289"/>
      <c r="E40" s="270"/>
      <c r="F40" s="270"/>
      <c r="G40" s="40"/>
    </row>
    <row r="41" spans="1:7" ht="15">
      <c r="A41" s="40"/>
      <c r="B41" s="33" t="s">
        <v>163</v>
      </c>
      <c r="C41" s="251">
        <f>SUM(C27:C39)</f>
        <v>0.5</v>
      </c>
      <c r="D41" s="249">
        <f>SUM(D27:D39)</f>
        <v>62.41610738255034</v>
      </c>
      <c r="E41" s="249">
        <f>SUM(E27:E39)</f>
        <v>42.5</v>
      </c>
      <c r="F41" s="249">
        <f>SUM(F27:F39)</f>
        <v>104.91610738255034</v>
      </c>
      <c r="G41" s="40"/>
    </row>
    <row r="42" spans="1:7" ht="59.25" customHeight="1">
      <c r="A42" s="40"/>
      <c r="B42" s="40"/>
      <c r="D42" s="242"/>
      <c r="E42" s="242"/>
      <c r="F42" s="242"/>
      <c r="G42" s="40"/>
    </row>
    <row r="43" spans="1:6" ht="15">
      <c r="A43" s="33" t="s">
        <v>352</v>
      </c>
      <c r="B43" s="237"/>
      <c r="C43" s="264" t="s">
        <v>302</v>
      </c>
      <c r="D43" s="240" t="s">
        <v>140</v>
      </c>
      <c r="E43" s="240" t="s">
        <v>327</v>
      </c>
      <c r="F43" s="240" t="s">
        <v>163</v>
      </c>
    </row>
    <row r="44" spans="2:6" ht="15">
      <c r="B44" s="240" t="s">
        <v>325</v>
      </c>
      <c r="C44" s="264">
        <f>3.534+0.136</f>
        <v>3.67</v>
      </c>
      <c r="D44" s="241">
        <f>D5</f>
        <v>160.322</v>
      </c>
      <c r="E44" s="241">
        <f>E5</f>
        <v>189.48</v>
      </c>
      <c r="F44" s="241">
        <f>SUM(D44:E44)</f>
        <v>349.802</v>
      </c>
    </row>
    <row r="45" spans="2:6" ht="15">
      <c r="B45" s="240" t="s">
        <v>324</v>
      </c>
      <c r="C45" s="240">
        <f>2.227+0.273</f>
        <v>2.5</v>
      </c>
      <c r="D45" s="241">
        <f>278.035+34.045</f>
        <v>312.08000000000004</v>
      </c>
      <c r="E45" s="241">
        <f>409+148.097</f>
        <v>557.097</v>
      </c>
      <c r="F45" s="241">
        <f>SUM(D45:E45)</f>
        <v>869.177</v>
      </c>
    </row>
    <row r="46" spans="1:7" s="40" customFormat="1" ht="15.75" thickBot="1">
      <c r="A46"/>
      <c r="B46" s="268" t="s">
        <v>326</v>
      </c>
      <c r="C46" s="268">
        <v>0</v>
      </c>
      <c r="D46" s="269">
        <v>0</v>
      </c>
      <c r="E46" s="269">
        <v>0</v>
      </c>
      <c r="F46" s="269">
        <f>SUM(D46:E46)</f>
        <v>0</v>
      </c>
      <c r="G46"/>
    </row>
    <row r="47" spans="1:7" s="40" customFormat="1" ht="15">
      <c r="A47"/>
      <c r="B47" s="265" t="s">
        <v>163</v>
      </c>
      <c r="C47" s="266">
        <f>SUM(C44:C46)</f>
        <v>6.17</v>
      </c>
      <c r="D47" s="267">
        <f>E41</f>
        <v>42.5</v>
      </c>
      <c r="E47" s="267">
        <f aca="true" t="shared" si="2" ref="E47:F47">SUM(E44:E46)</f>
        <v>746.577</v>
      </c>
      <c r="F47" s="267">
        <f t="shared" si="2"/>
        <v>1218.979</v>
      </c>
      <c r="G47"/>
    </row>
    <row r="48" spans="1:7" s="40" customFormat="1" ht="15">
      <c r="A48"/>
      <c r="D48"/>
      <c r="E48"/>
      <c r="F48"/>
      <c r="G48"/>
    </row>
    <row r="49" spans="1:7" s="40" customFormat="1" ht="15">
      <c r="A49"/>
      <c r="D49"/>
      <c r="E49"/>
      <c r="F49"/>
      <c r="G49"/>
    </row>
    <row r="50" spans="1:6" s="40" customFormat="1" ht="15">
      <c r="A50" s="33" t="s">
        <v>353</v>
      </c>
      <c r="B50" s="237"/>
      <c r="C50" s="264" t="s">
        <v>302</v>
      </c>
      <c r="D50" s="240" t="s">
        <v>140</v>
      </c>
      <c r="E50" s="240" t="s">
        <v>327</v>
      </c>
      <c r="F50" s="240" t="s">
        <v>163</v>
      </c>
    </row>
    <row r="51" spans="1:7" ht="15">
      <c r="A51" s="40"/>
      <c r="B51" s="240" t="s">
        <v>325</v>
      </c>
      <c r="C51" s="264">
        <f>C5</f>
        <v>1.22</v>
      </c>
      <c r="D51" s="241">
        <v>160.322</v>
      </c>
      <c r="E51" s="241">
        <v>189.48</v>
      </c>
      <c r="F51" s="241">
        <f>SUM(D51:E51)</f>
        <v>349.802</v>
      </c>
      <c r="G51" s="40"/>
    </row>
    <row r="52" spans="1:7" ht="15">
      <c r="A52" s="40"/>
      <c r="B52" s="240" t="s">
        <v>324</v>
      </c>
      <c r="C52" s="264" t="e">
        <f>C23</f>
        <v>#REF!</v>
      </c>
      <c r="D52" s="241" t="e">
        <f>D23</f>
        <v>#REF!</v>
      </c>
      <c r="E52" s="241" t="e">
        <f>E23</f>
        <v>#REF!</v>
      </c>
      <c r="F52" s="241" t="e">
        <f>SUM(D52:E52)</f>
        <v>#REF!</v>
      </c>
      <c r="G52" s="40"/>
    </row>
    <row r="53" spans="1:7" ht="15.75" thickBot="1">
      <c r="A53" s="40"/>
      <c r="B53" s="268" t="s">
        <v>326</v>
      </c>
      <c r="C53" s="268">
        <f>C41</f>
        <v>0.5</v>
      </c>
      <c r="D53" s="269">
        <f>D41</f>
        <v>62.41610738255034</v>
      </c>
      <c r="E53" s="269">
        <f>E41</f>
        <v>42.5</v>
      </c>
      <c r="F53" s="269">
        <f>SUM(D53:E53)</f>
        <v>104.91610738255034</v>
      </c>
      <c r="G53" s="40"/>
    </row>
    <row r="54" spans="1:7" ht="15">
      <c r="A54" s="40"/>
      <c r="B54" s="265" t="s">
        <v>163</v>
      </c>
      <c r="C54" s="266" t="e">
        <f>SUM(C51:C53)</f>
        <v>#REF!</v>
      </c>
      <c r="D54" s="267" t="e">
        <f>SUM(D51:D53)</f>
        <v>#REF!</v>
      </c>
      <c r="E54" s="267" t="e">
        <f>SUM(E51:E53)</f>
        <v>#REF!</v>
      </c>
      <c r="F54" s="267" t="e">
        <f>SUM(D54:E54)</f>
        <v>#REF!</v>
      </c>
      <c r="G54" s="40"/>
    </row>
    <row r="57" spans="1:2" ht="15">
      <c r="A57" s="273" t="s">
        <v>362</v>
      </c>
      <c r="B57" s="40"/>
    </row>
    <row r="58" ht="15">
      <c r="A58" s="272" t="s">
        <v>363</v>
      </c>
    </row>
    <row r="59" ht="15">
      <c r="A59" s="48" t="s">
        <v>364</v>
      </c>
    </row>
  </sheetData>
  <printOptions/>
  <pageMargins left="0.25" right="0.25" top="0.25" bottom="0.5" header="0.3" footer="0.3"/>
  <pageSetup fitToHeight="1" fitToWidth="1" horizontalDpi="600" verticalDpi="600" orientation="portrait" scale="70" r:id="rId1"/>
  <headerFooter>
    <oddHeader>&amp;C&amp;"-,Bold"&amp;12Upgrade Injector Test Facilty Estimate as of 4-29-15</oddHeader>
    <oddFooter>&amp;L&amp;8&amp;Z&amp;F,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workbookViewId="0" topLeftCell="A1">
      <selection activeCell="C31" sqref="C31"/>
    </sheetView>
  </sheetViews>
  <sheetFormatPr defaultColWidth="8.8515625" defaultRowHeight="15"/>
  <cols>
    <col min="1" max="1" width="52.28125" style="34" bestFit="1" customWidth="1"/>
    <col min="2" max="3" width="8.8515625" style="30" customWidth="1"/>
    <col min="4" max="4" width="12.00390625" style="30" bestFit="1" customWidth="1"/>
    <col min="5" max="5" width="6.8515625" style="30" bestFit="1" customWidth="1"/>
    <col min="6" max="6" width="8.8515625" style="30" customWidth="1"/>
    <col min="7" max="7" width="9.140625" style="30" bestFit="1" customWidth="1"/>
    <col min="8" max="8" width="9.140625" style="30" customWidth="1"/>
    <col min="9" max="9" width="9.00390625" style="30" bestFit="1" customWidth="1"/>
    <col min="10" max="10" width="8.57421875" style="30" bestFit="1" customWidth="1"/>
    <col min="11" max="11" width="9.57421875" style="30" bestFit="1" customWidth="1"/>
    <col min="12" max="12" width="9.7109375" style="30" bestFit="1" customWidth="1"/>
    <col min="13" max="13" width="9.7109375" style="30" customWidth="1"/>
    <col min="14" max="14" width="10.7109375" style="30" bestFit="1" customWidth="1"/>
    <col min="15" max="15" width="11.7109375" style="30" bestFit="1" customWidth="1"/>
    <col min="16" max="16384" width="8.8515625" style="34" customWidth="1"/>
  </cols>
  <sheetData>
    <row r="1" spans="1:15" ht="23.25">
      <c r="A1" s="465" t="s">
        <v>40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7"/>
    </row>
    <row r="2" spans="1:15" ht="15">
      <c r="A2" s="8" t="s">
        <v>0</v>
      </c>
      <c r="B2" s="19"/>
      <c r="C2" s="19"/>
      <c r="D2" s="468" t="s">
        <v>1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9"/>
    </row>
    <row r="3" spans="1:15" ht="15">
      <c r="A3" s="9"/>
      <c r="B3" s="20" t="s">
        <v>2</v>
      </c>
      <c r="C3" s="20" t="s">
        <v>135</v>
      </c>
      <c r="D3" s="21" t="s">
        <v>3</v>
      </c>
      <c r="E3" s="21" t="s">
        <v>4</v>
      </c>
      <c r="F3" s="21" t="s">
        <v>5</v>
      </c>
      <c r="G3" s="21" t="s">
        <v>6</v>
      </c>
      <c r="H3" s="54" t="s">
        <v>139</v>
      </c>
      <c r="I3" s="54" t="s">
        <v>80</v>
      </c>
      <c r="J3" s="21" t="s">
        <v>8</v>
      </c>
      <c r="K3" s="21" t="s">
        <v>9</v>
      </c>
      <c r="L3" s="21" t="s">
        <v>10</v>
      </c>
      <c r="M3" s="54" t="s">
        <v>136</v>
      </c>
      <c r="N3" s="54" t="s">
        <v>11</v>
      </c>
      <c r="O3" s="22" t="s">
        <v>12</v>
      </c>
    </row>
    <row r="4" spans="1:15" ht="15">
      <c r="A4" s="36" t="s">
        <v>41</v>
      </c>
      <c r="B4" s="23"/>
      <c r="C4" s="23"/>
      <c r="D4" s="24"/>
      <c r="E4" s="24"/>
      <c r="F4" s="24"/>
      <c r="G4" s="24"/>
      <c r="H4" s="55"/>
      <c r="I4" s="55"/>
      <c r="J4" s="24"/>
      <c r="K4" s="24"/>
      <c r="L4" s="24"/>
      <c r="M4" s="55"/>
      <c r="N4" s="55"/>
      <c r="O4" s="25"/>
    </row>
    <row r="5" spans="1:15" ht="15">
      <c r="A5" s="35" t="s">
        <v>42</v>
      </c>
      <c r="B5" s="23">
        <f>SUM(D5:O5)-H5-M5</f>
        <v>28</v>
      </c>
      <c r="C5" s="52">
        <f>B5/40</f>
        <v>0.7</v>
      </c>
      <c r="D5" s="26"/>
      <c r="E5" s="24"/>
      <c r="F5" s="24"/>
      <c r="G5" s="24"/>
      <c r="H5" s="58">
        <f>I5/40</f>
        <v>0.4</v>
      </c>
      <c r="I5" s="56">
        <v>16</v>
      </c>
      <c r="J5" s="24"/>
      <c r="K5" s="24"/>
      <c r="L5" s="24"/>
      <c r="M5" s="58">
        <f>N5/40</f>
        <v>0.3</v>
      </c>
      <c r="N5" s="56">
        <v>12</v>
      </c>
      <c r="O5" s="25"/>
    </row>
    <row r="6" spans="1:15" ht="15">
      <c r="A6" s="37" t="s">
        <v>43</v>
      </c>
      <c r="B6" s="23">
        <f aca="true" t="shared" si="0" ref="B6:B29">SUM(D6:O6)-H6-M6</f>
        <v>31.999999999999996</v>
      </c>
      <c r="C6" s="52">
        <f aca="true" t="shared" si="1" ref="C6:C31">B6/40</f>
        <v>0.7999999999999999</v>
      </c>
      <c r="D6" s="26"/>
      <c r="E6" s="24"/>
      <c r="F6" s="24"/>
      <c r="G6" s="24"/>
      <c r="H6" s="58">
        <f aca="true" t="shared" si="2" ref="H6:H29">I6/40</f>
        <v>0.8</v>
      </c>
      <c r="I6" s="56">
        <v>32</v>
      </c>
      <c r="J6" s="24"/>
      <c r="K6" s="24"/>
      <c r="L6" s="24"/>
      <c r="M6" s="58">
        <f aca="true" t="shared" si="3" ref="M6:M29">N6/40</f>
        <v>0</v>
      </c>
      <c r="N6" s="56">
        <v>0</v>
      </c>
      <c r="O6" s="25"/>
    </row>
    <row r="7" spans="1:15" ht="15">
      <c r="A7" s="35" t="s">
        <v>44</v>
      </c>
      <c r="B7" s="23">
        <f t="shared" si="0"/>
        <v>83.99999999999999</v>
      </c>
      <c r="C7" s="52">
        <f t="shared" si="1"/>
        <v>2.0999999999999996</v>
      </c>
      <c r="D7" s="26"/>
      <c r="E7" s="24"/>
      <c r="F7" s="24"/>
      <c r="G7" s="24"/>
      <c r="H7" s="58">
        <f t="shared" si="2"/>
        <v>1.2</v>
      </c>
      <c r="I7" s="56">
        <v>48</v>
      </c>
      <c r="J7" s="24"/>
      <c r="K7" s="24"/>
      <c r="L7" s="24"/>
      <c r="M7" s="58">
        <f t="shared" si="3"/>
        <v>0.9</v>
      </c>
      <c r="N7" s="56">
        <v>36</v>
      </c>
      <c r="O7" s="25"/>
    </row>
    <row r="8" spans="1:15" ht="15">
      <c r="A8" s="35" t="s">
        <v>45</v>
      </c>
      <c r="B8" s="23">
        <f t="shared" si="0"/>
        <v>28</v>
      </c>
      <c r="C8" s="52">
        <f t="shared" si="1"/>
        <v>0.7</v>
      </c>
      <c r="D8" s="26"/>
      <c r="E8" s="24"/>
      <c r="F8" s="24"/>
      <c r="G8" s="24"/>
      <c r="H8" s="58">
        <f t="shared" si="2"/>
        <v>0.4</v>
      </c>
      <c r="I8" s="56">
        <v>16</v>
      </c>
      <c r="J8" s="24"/>
      <c r="K8" s="24"/>
      <c r="L8" s="24"/>
      <c r="M8" s="58">
        <f t="shared" si="3"/>
        <v>0.3</v>
      </c>
      <c r="N8" s="56">
        <v>12</v>
      </c>
      <c r="O8" s="25"/>
    </row>
    <row r="9" spans="1:15" ht="15">
      <c r="A9" s="35"/>
      <c r="B9" s="23">
        <f t="shared" si="0"/>
        <v>0</v>
      </c>
      <c r="C9" s="52"/>
      <c r="D9" s="26"/>
      <c r="E9" s="24"/>
      <c r="F9" s="24"/>
      <c r="G9" s="24"/>
      <c r="H9" s="58"/>
      <c r="I9" s="56" t="s">
        <v>38</v>
      </c>
      <c r="J9" s="24"/>
      <c r="K9" s="24"/>
      <c r="L9" s="24"/>
      <c r="M9" s="58"/>
      <c r="N9" s="56" t="s">
        <v>38</v>
      </c>
      <c r="O9" s="25"/>
    </row>
    <row r="10" spans="1:15" ht="15">
      <c r="A10" s="36" t="s">
        <v>46</v>
      </c>
      <c r="B10" s="23">
        <f t="shared" si="0"/>
        <v>0</v>
      </c>
      <c r="C10" s="52"/>
      <c r="D10" s="26"/>
      <c r="E10" s="24"/>
      <c r="F10" s="24"/>
      <c r="G10" s="24"/>
      <c r="H10" s="58"/>
      <c r="I10" s="56" t="s">
        <v>38</v>
      </c>
      <c r="J10" s="24"/>
      <c r="K10" s="24"/>
      <c r="L10" s="24"/>
      <c r="M10" s="58"/>
      <c r="N10" s="56" t="s">
        <v>38</v>
      </c>
      <c r="O10" s="25"/>
    </row>
    <row r="11" spans="1:15" ht="15">
      <c r="A11" s="35" t="s">
        <v>47</v>
      </c>
      <c r="B11" s="23">
        <f t="shared" si="0"/>
        <v>12</v>
      </c>
      <c r="C11" s="52">
        <f t="shared" si="1"/>
        <v>0.3</v>
      </c>
      <c r="D11" s="13"/>
      <c r="E11" s="13"/>
      <c r="F11" s="13"/>
      <c r="G11" s="13"/>
      <c r="H11" s="58">
        <f t="shared" si="2"/>
        <v>0.2</v>
      </c>
      <c r="I11" s="56">
        <v>8</v>
      </c>
      <c r="J11" s="13"/>
      <c r="K11" s="13"/>
      <c r="L11" s="13"/>
      <c r="M11" s="58">
        <f t="shared" si="3"/>
        <v>0.1</v>
      </c>
      <c r="N11" s="56">
        <v>4</v>
      </c>
      <c r="O11" s="31"/>
    </row>
    <row r="12" spans="1:15" ht="15">
      <c r="A12" s="35" t="s">
        <v>48</v>
      </c>
      <c r="B12" s="23">
        <f t="shared" si="0"/>
        <v>36.00000000000001</v>
      </c>
      <c r="C12" s="52">
        <f t="shared" si="1"/>
        <v>0.9000000000000001</v>
      </c>
      <c r="D12" s="26"/>
      <c r="E12" s="24"/>
      <c r="F12" s="24"/>
      <c r="G12" s="24"/>
      <c r="H12" s="58">
        <f t="shared" si="2"/>
        <v>0.6</v>
      </c>
      <c r="I12" s="56">
        <v>24</v>
      </c>
      <c r="J12" s="24"/>
      <c r="K12" s="24"/>
      <c r="L12" s="24"/>
      <c r="M12" s="58">
        <f t="shared" si="3"/>
        <v>0.30000000000000004</v>
      </c>
      <c r="N12" s="56">
        <v>12.000000000000002</v>
      </c>
      <c r="O12" s="25" t="s">
        <v>38</v>
      </c>
    </row>
    <row r="13" spans="1:15" ht="15">
      <c r="A13" s="35" t="s">
        <v>49</v>
      </c>
      <c r="B13" s="23">
        <f t="shared" si="0"/>
        <v>120</v>
      </c>
      <c r="C13" s="52">
        <f t="shared" si="1"/>
        <v>3</v>
      </c>
      <c r="D13" s="26"/>
      <c r="E13" s="24"/>
      <c r="F13" s="24"/>
      <c r="G13" s="24"/>
      <c r="H13" s="58">
        <f t="shared" si="2"/>
        <v>2</v>
      </c>
      <c r="I13" s="56">
        <v>80</v>
      </c>
      <c r="J13" s="24"/>
      <c r="K13" s="24"/>
      <c r="L13" s="24"/>
      <c r="M13" s="58">
        <f t="shared" si="3"/>
        <v>1</v>
      </c>
      <c r="N13" s="56">
        <v>40</v>
      </c>
      <c r="O13" s="25"/>
    </row>
    <row r="14" spans="1:15" ht="15">
      <c r="A14" s="35"/>
      <c r="B14" s="23">
        <f t="shared" si="0"/>
        <v>0</v>
      </c>
      <c r="C14" s="52"/>
      <c r="D14" s="26"/>
      <c r="E14" s="24"/>
      <c r="F14" s="24"/>
      <c r="G14" s="24"/>
      <c r="H14" s="58"/>
      <c r="I14" s="56" t="s">
        <v>38</v>
      </c>
      <c r="J14" s="24"/>
      <c r="K14" s="24"/>
      <c r="L14" s="24"/>
      <c r="M14" s="58"/>
      <c r="N14" s="56" t="s">
        <v>38</v>
      </c>
      <c r="O14" s="25" t="s">
        <v>38</v>
      </c>
    </row>
    <row r="15" spans="1:15" ht="15">
      <c r="A15" s="36" t="s">
        <v>50</v>
      </c>
      <c r="B15" s="23">
        <f t="shared" si="0"/>
        <v>0</v>
      </c>
      <c r="C15" s="52"/>
      <c r="D15" s="26"/>
      <c r="E15" s="24"/>
      <c r="F15" s="24"/>
      <c r="G15" s="24"/>
      <c r="H15" s="58"/>
      <c r="I15" s="56" t="s">
        <v>38</v>
      </c>
      <c r="J15" s="24"/>
      <c r="K15" s="24"/>
      <c r="L15" s="24"/>
      <c r="M15" s="58"/>
      <c r="N15" s="56" t="s">
        <v>38</v>
      </c>
      <c r="O15" s="25" t="s">
        <v>38</v>
      </c>
    </row>
    <row r="16" spans="1:15" ht="15">
      <c r="A16" s="35" t="s">
        <v>47</v>
      </c>
      <c r="B16" s="23">
        <f t="shared" si="0"/>
        <v>24</v>
      </c>
      <c r="C16" s="52">
        <f t="shared" si="1"/>
        <v>0.6</v>
      </c>
      <c r="D16" s="26"/>
      <c r="E16" s="24"/>
      <c r="F16" s="24"/>
      <c r="G16" s="24"/>
      <c r="H16" s="58">
        <f t="shared" si="2"/>
        <v>0.4</v>
      </c>
      <c r="I16" s="56">
        <v>16</v>
      </c>
      <c r="J16" s="24"/>
      <c r="K16" s="24"/>
      <c r="L16" s="24"/>
      <c r="M16" s="58">
        <f t="shared" si="3"/>
        <v>0.2</v>
      </c>
      <c r="N16" s="56">
        <v>8</v>
      </c>
      <c r="O16" s="25" t="s">
        <v>38</v>
      </c>
    </row>
    <row r="17" spans="1:15" ht="15">
      <c r="A17" s="35" t="s">
        <v>48</v>
      </c>
      <c r="B17" s="23">
        <f t="shared" si="0"/>
        <v>48</v>
      </c>
      <c r="C17" s="52">
        <f t="shared" si="1"/>
        <v>1.2</v>
      </c>
      <c r="D17" s="26"/>
      <c r="E17" s="24"/>
      <c r="F17" s="24"/>
      <c r="G17" s="24"/>
      <c r="H17" s="58">
        <f t="shared" si="2"/>
        <v>0.8</v>
      </c>
      <c r="I17" s="56">
        <v>32</v>
      </c>
      <c r="J17" s="24"/>
      <c r="K17" s="24"/>
      <c r="L17" s="24"/>
      <c r="M17" s="58">
        <f t="shared" si="3"/>
        <v>0.4</v>
      </c>
      <c r="N17" s="56">
        <v>16</v>
      </c>
      <c r="O17" s="25"/>
    </row>
    <row r="18" spans="1:15" ht="15">
      <c r="A18" s="35" t="s">
        <v>51</v>
      </c>
      <c r="B18" s="23">
        <f t="shared" si="0"/>
        <v>192</v>
      </c>
      <c r="C18" s="52">
        <f t="shared" si="1"/>
        <v>4.8</v>
      </c>
      <c r="D18" s="26"/>
      <c r="E18" s="24"/>
      <c r="F18" s="24"/>
      <c r="G18" s="24"/>
      <c r="H18" s="58">
        <f t="shared" si="2"/>
        <v>3.2</v>
      </c>
      <c r="I18" s="56">
        <v>128</v>
      </c>
      <c r="J18" s="24"/>
      <c r="K18" s="24"/>
      <c r="L18" s="24"/>
      <c r="M18" s="58">
        <f t="shared" si="3"/>
        <v>1.6</v>
      </c>
      <c r="N18" s="56">
        <v>64</v>
      </c>
      <c r="O18" s="25"/>
    </row>
    <row r="19" spans="1:15" ht="15">
      <c r="A19" s="35"/>
      <c r="B19" s="23">
        <f t="shared" si="0"/>
        <v>0</v>
      </c>
      <c r="C19" s="52"/>
      <c r="D19" s="26"/>
      <c r="E19" s="24"/>
      <c r="F19" s="24"/>
      <c r="G19" s="24"/>
      <c r="H19" s="58"/>
      <c r="I19" s="56" t="s">
        <v>38</v>
      </c>
      <c r="J19" s="24"/>
      <c r="K19" s="24"/>
      <c r="L19" s="24"/>
      <c r="M19" s="58"/>
      <c r="N19" s="56" t="s">
        <v>38</v>
      </c>
      <c r="O19" s="25"/>
    </row>
    <row r="20" spans="1:15" ht="15">
      <c r="A20" s="36" t="s">
        <v>52</v>
      </c>
      <c r="B20" s="23">
        <f t="shared" si="0"/>
        <v>0</v>
      </c>
      <c r="C20" s="52"/>
      <c r="D20" s="13"/>
      <c r="E20" s="13"/>
      <c r="F20" s="13"/>
      <c r="G20" s="13"/>
      <c r="H20" s="58"/>
      <c r="I20" s="56" t="s">
        <v>38</v>
      </c>
      <c r="J20" s="13"/>
      <c r="K20" s="13"/>
      <c r="L20" s="13"/>
      <c r="M20" s="58"/>
      <c r="N20" s="56" t="s">
        <v>38</v>
      </c>
      <c r="O20" s="25"/>
    </row>
    <row r="21" spans="1:15" ht="15">
      <c r="A21" s="35" t="s">
        <v>53</v>
      </c>
      <c r="B21" s="23">
        <f t="shared" si="0"/>
        <v>20</v>
      </c>
      <c r="C21" s="52">
        <f t="shared" si="1"/>
        <v>0.5</v>
      </c>
      <c r="D21" s="26"/>
      <c r="E21" s="24"/>
      <c r="F21" s="24"/>
      <c r="G21" s="24"/>
      <c r="H21" s="58">
        <f t="shared" si="2"/>
        <v>0.4</v>
      </c>
      <c r="I21" s="56">
        <v>16</v>
      </c>
      <c r="J21" s="24"/>
      <c r="K21" s="24"/>
      <c r="L21" s="24"/>
      <c r="M21" s="58">
        <f t="shared" si="3"/>
        <v>0.1</v>
      </c>
      <c r="N21" s="56">
        <v>4</v>
      </c>
      <c r="O21" s="25"/>
    </row>
    <row r="22" spans="1:15" ht="15">
      <c r="A22" s="35" t="s">
        <v>54</v>
      </c>
      <c r="B22" s="23">
        <f t="shared" si="0"/>
        <v>24</v>
      </c>
      <c r="C22" s="52">
        <f t="shared" si="1"/>
        <v>0.6</v>
      </c>
      <c r="D22" s="26"/>
      <c r="E22" s="24"/>
      <c r="F22" s="24"/>
      <c r="G22" s="24"/>
      <c r="H22" s="58">
        <f t="shared" si="2"/>
        <v>0.4</v>
      </c>
      <c r="I22" s="56">
        <v>16</v>
      </c>
      <c r="J22" s="24"/>
      <c r="K22" s="24"/>
      <c r="L22" s="24"/>
      <c r="M22" s="58">
        <f t="shared" si="3"/>
        <v>0.2</v>
      </c>
      <c r="N22" s="56">
        <v>8</v>
      </c>
      <c r="O22" s="25"/>
    </row>
    <row r="23" spans="1:15" ht="15">
      <c r="A23" s="35" t="s">
        <v>55</v>
      </c>
      <c r="B23" s="23">
        <f t="shared" si="0"/>
        <v>48</v>
      </c>
      <c r="C23" s="52">
        <f t="shared" si="1"/>
        <v>1.2</v>
      </c>
      <c r="D23" s="26"/>
      <c r="E23" s="24"/>
      <c r="F23" s="24"/>
      <c r="G23" s="24"/>
      <c r="H23" s="58">
        <f t="shared" si="2"/>
        <v>0.8</v>
      </c>
      <c r="I23" s="56">
        <v>32</v>
      </c>
      <c r="J23" s="24"/>
      <c r="K23" s="24"/>
      <c r="L23" s="24"/>
      <c r="M23" s="58">
        <f t="shared" si="3"/>
        <v>0.4</v>
      </c>
      <c r="N23" s="56">
        <v>16</v>
      </c>
      <c r="O23" s="25"/>
    </row>
    <row r="24" spans="1:15" ht="15">
      <c r="A24" s="35"/>
      <c r="B24" s="23">
        <f t="shared" si="0"/>
        <v>0</v>
      </c>
      <c r="C24" s="52"/>
      <c r="D24" s="26"/>
      <c r="E24" s="24"/>
      <c r="F24" s="24"/>
      <c r="G24" s="24"/>
      <c r="H24" s="58"/>
      <c r="I24" s="56" t="s">
        <v>38</v>
      </c>
      <c r="J24" s="24"/>
      <c r="K24" s="24"/>
      <c r="L24" s="24"/>
      <c r="M24" s="58"/>
      <c r="N24" s="56" t="s">
        <v>38</v>
      </c>
      <c r="O24" s="25"/>
    </row>
    <row r="25" spans="1:15" ht="15">
      <c r="A25" s="36" t="s">
        <v>56</v>
      </c>
      <c r="B25" s="23">
        <f t="shared" si="0"/>
        <v>0</v>
      </c>
      <c r="C25" s="52"/>
      <c r="D25" s="26"/>
      <c r="E25" s="24"/>
      <c r="F25" s="24"/>
      <c r="G25" s="24"/>
      <c r="H25" s="58"/>
      <c r="I25" s="56" t="s">
        <v>38</v>
      </c>
      <c r="J25" s="24"/>
      <c r="K25" s="24"/>
      <c r="L25" s="24"/>
      <c r="M25" s="58"/>
      <c r="N25" s="56" t="s">
        <v>38</v>
      </c>
      <c r="O25" s="25"/>
    </row>
    <row r="26" spans="1:15" ht="15">
      <c r="A26" s="35" t="s">
        <v>47</v>
      </c>
      <c r="B26" s="23">
        <f t="shared" si="0"/>
        <v>10</v>
      </c>
      <c r="C26" s="52">
        <f t="shared" si="1"/>
        <v>0.25</v>
      </c>
      <c r="D26" s="26"/>
      <c r="E26" s="24"/>
      <c r="F26" s="24"/>
      <c r="G26" s="24"/>
      <c r="H26" s="58">
        <f t="shared" si="2"/>
        <v>0.2</v>
      </c>
      <c r="I26" s="56">
        <v>8</v>
      </c>
      <c r="J26" s="24"/>
      <c r="K26" s="24"/>
      <c r="L26" s="24"/>
      <c r="M26" s="58">
        <f t="shared" si="3"/>
        <v>0.05</v>
      </c>
      <c r="N26" s="56">
        <v>2</v>
      </c>
      <c r="O26" s="25"/>
    </row>
    <row r="27" spans="1:15" ht="15">
      <c r="A27" s="35" t="s">
        <v>48</v>
      </c>
      <c r="B27" s="23">
        <f t="shared" si="0"/>
        <v>36.00000000000001</v>
      </c>
      <c r="C27" s="52">
        <f t="shared" si="1"/>
        <v>0.9000000000000001</v>
      </c>
      <c r="D27" s="26"/>
      <c r="E27" s="24"/>
      <c r="F27" s="24"/>
      <c r="G27" s="24"/>
      <c r="H27" s="58">
        <f t="shared" si="2"/>
        <v>0.6</v>
      </c>
      <c r="I27" s="56">
        <v>24</v>
      </c>
      <c r="J27" s="24"/>
      <c r="K27" s="24"/>
      <c r="L27" s="24"/>
      <c r="M27" s="58">
        <f t="shared" si="3"/>
        <v>0.30000000000000004</v>
      </c>
      <c r="N27" s="56">
        <v>12.000000000000002</v>
      </c>
      <c r="O27" s="25"/>
    </row>
    <row r="28" spans="1:15" ht="15">
      <c r="A28" s="35" t="s">
        <v>57</v>
      </c>
      <c r="B28" s="23">
        <f t="shared" si="0"/>
        <v>96</v>
      </c>
      <c r="C28" s="52">
        <f t="shared" si="1"/>
        <v>2.4</v>
      </c>
      <c r="D28" s="26"/>
      <c r="E28" s="24"/>
      <c r="F28" s="24"/>
      <c r="G28" s="24"/>
      <c r="H28" s="58">
        <f t="shared" si="2"/>
        <v>1.6</v>
      </c>
      <c r="I28" s="56">
        <v>64</v>
      </c>
      <c r="J28" s="24"/>
      <c r="K28" s="24"/>
      <c r="L28" s="24"/>
      <c r="M28" s="58">
        <f t="shared" si="3"/>
        <v>0.8</v>
      </c>
      <c r="N28" s="56">
        <v>32</v>
      </c>
      <c r="O28" s="25"/>
    </row>
    <row r="29" spans="1:15" ht="15">
      <c r="A29" s="35" t="s">
        <v>58</v>
      </c>
      <c r="B29" s="27">
        <f t="shared" si="0"/>
        <v>48</v>
      </c>
      <c r="C29" s="53">
        <f t="shared" si="1"/>
        <v>1.2</v>
      </c>
      <c r="D29" s="13"/>
      <c r="E29" s="13"/>
      <c r="F29" s="13"/>
      <c r="G29" s="13"/>
      <c r="H29" s="58">
        <f t="shared" si="2"/>
        <v>0.8</v>
      </c>
      <c r="I29" s="56">
        <v>32</v>
      </c>
      <c r="J29" s="13"/>
      <c r="K29" s="13"/>
      <c r="L29" s="13"/>
      <c r="M29" s="58">
        <f t="shared" si="3"/>
        <v>0.4</v>
      </c>
      <c r="N29" s="56">
        <v>16</v>
      </c>
      <c r="O29" s="25"/>
    </row>
    <row r="30" spans="2:15" ht="15">
      <c r="B30" s="32"/>
      <c r="C30" s="50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5.75" thickBot="1">
      <c r="A31" s="14" t="s">
        <v>2</v>
      </c>
      <c r="B31" s="28">
        <f>SUM(B4:B30)</f>
        <v>886</v>
      </c>
      <c r="C31" s="51">
        <f t="shared" si="1"/>
        <v>22.15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</row>
    <row r="32" ht="15">
      <c r="C32" s="50"/>
    </row>
    <row r="33" spans="1:14" ht="15">
      <c r="A33" s="186" t="s">
        <v>360</v>
      </c>
      <c r="B33" s="252">
        <f>(H33+M33)/44</f>
        <v>0.5034090909090909</v>
      </c>
      <c r="C33" s="50"/>
      <c r="H33" s="60">
        <f>SUM(H4:H32)</f>
        <v>14.8</v>
      </c>
      <c r="I33" s="60">
        <f>SUM(I4:I32)</f>
        <v>592</v>
      </c>
      <c r="M33" s="60">
        <f>SUM(M4:M32)</f>
        <v>7.3500000000000005</v>
      </c>
      <c r="N33" s="60">
        <f>SUM(N4:N32)</f>
        <v>294</v>
      </c>
    </row>
    <row r="34" spans="1:15" s="40" customFormat="1" ht="15">
      <c r="A34" s="250" t="s">
        <v>481</v>
      </c>
      <c r="B34" s="359">
        <v>1.0175</v>
      </c>
      <c r="C34" s="50"/>
      <c r="D34" s="30"/>
      <c r="E34" s="30"/>
      <c r="F34" s="30"/>
      <c r="G34" s="30"/>
      <c r="H34" s="60"/>
      <c r="I34" s="60"/>
      <c r="J34" s="30"/>
      <c r="K34" s="30"/>
      <c r="L34" s="30"/>
      <c r="M34" s="60"/>
      <c r="N34" s="60"/>
      <c r="O34" s="30"/>
    </row>
    <row r="35" ht="15"/>
    <row r="36" spans="1:13" ht="15">
      <c r="A36" s="360" t="s">
        <v>485</v>
      </c>
      <c r="B36" s="286"/>
      <c r="H36" s="68">
        <v>53.353</v>
      </c>
      <c r="M36" s="68">
        <v>14.757</v>
      </c>
    </row>
    <row r="37" spans="1:4" ht="15">
      <c r="A37" s="69" t="s">
        <v>142</v>
      </c>
      <c r="B37" s="188">
        <v>3.605</v>
      </c>
      <c r="C37" s="60">
        <v>14.8</v>
      </c>
      <c r="D37" s="188">
        <v>53.353</v>
      </c>
    </row>
    <row r="38" spans="1:4" ht="15">
      <c r="A38" s="69" t="s">
        <v>141</v>
      </c>
      <c r="B38" s="188">
        <v>1.994</v>
      </c>
      <c r="C38" s="60">
        <v>7.35</v>
      </c>
      <c r="D38" s="260">
        <v>14.757</v>
      </c>
    </row>
    <row r="39" ht="15">
      <c r="D39" s="358">
        <f>SUM(D37:D38)</f>
        <v>68.11</v>
      </c>
    </row>
    <row r="41" spans="1:15" s="40" customFormat="1" ht="15">
      <c r="A41" s="250" t="s">
        <v>153</v>
      </c>
      <c r="B41" s="30"/>
      <c r="C41" s="30"/>
      <c r="D41" s="358">
        <v>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s="40" customFormat="1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s="40" customFormat="1" ht="15">
      <c r="A43" s="250" t="s">
        <v>482</v>
      </c>
      <c r="B43" s="30"/>
      <c r="C43" s="30"/>
      <c r="D43" s="317">
        <f>SUM(D39:D41)</f>
        <v>68.11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s="40" customFormat="1" ht="15">
      <c r="A44" s="250"/>
      <c r="B44" s="30"/>
      <c r="C44" s="30"/>
      <c r="D44" s="317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s="40" customFormat="1" ht="15">
      <c r="A45" s="360" t="s">
        <v>484</v>
      </c>
      <c r="B45" s="30"/>
      <c r="C45" s="30"/>
      <c r="D45" s="317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s="40" customFormat="1" ht="15">
      <c r="A46" s="69" t="s">
        <v>142</v>
      </c>
      <c r="B46" s="188">
        <f>B37*B$34</f>
        <v>3.6680875000000004</v>
      </c>
      <c r="C46" s="60">
        <v>14.8</v>
      </c>
      <c r="D46" s="188">
        <f>B46*C46</f>
        <v>54.28769500000001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s="40" customFormat="1" ht="15">
      <c r="A47" s="69" t="s">
        <v>141</v>
      </c>
      <c r="B47" s="188">
        <f>B38*B$34</f>
        <v>2.0288950000000003</v>
      </c>
      <c r="C47" s="60">
        <v>7.35</v>
      </c>
      <c r="D47" s="260">
        <f>B47*C47</f>
        <v>14.912378250000002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5" s="40" customFormat="1" ht="15">
      <c r="B48" s="30"/>
      <c r="C48" s="30"/>
      <c r="D48" s="320">
        <f>SUM(D46:D47)</f>
        <v>69.20007325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2:15" s="40" customFormat="1" ht="15">
      <c r="B49" s="30"/>
      <c r="C49" s="30"/>
      <c r="D49" s="358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4" ht="15">
      <c r="A50" s="250" t="s">
        <v>153</v>
      </c>
      <c r="D50" s="320">
        <v>0</v>
      </c>
    </row>
    <row r="52" spans="1:4" ht="15">
      <c r="A52" s="250" t="s">
        <v>483</v>
      </c>
      <c r="D52" s="317">
        <f>SUM(D48:D51)</f>
        <v>69.20007325</v>
      </c>
    </row>
  </sheetData>
  <mergeCells count="2">
    <mergeCell ref="A1:O1"/>
    <mergeCell ref="D2: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="80" zoomScaleNormal="80" workbookViewId="0" topLeftCell="A1">
      <pane ySplit="3" topLeftCell="A4" activePane="bottomLeft" state="frozen"/>
      <selection pane="bottomLeft" activeCell="M15" sqref="M15"/>
    </sheetView>
  </sheetViews>
  <sheetFormatPr defaultColWidth="9.140625" defaultRowHeight="15"/>
  <cols>
    <col min="1" max="1" width="9.140625" style="366" customWidth="1"/>
    <col min="2" max="2" width="47.140625" style="366" customWidth="1"/>
    <col min="3" max="3" width="17.7109375" style="366" customWidth="1"/>
    <col min="4" max="5" width="23.57421875" style="366" customWidth="1"/>
    <col min="6" max="6" width="16.00390625" style="366" customWidth="1"/>
    <col min="7" max="7" width="15.8515625" style="366" customWidth="1"/>
    <col min="8" max="8" width="14.421875" style="366" customWidth="1"/>
    <col min="9" max="9" width="12.140625" style="366" customWidth="1"/>
    <col min="10" max="10" width="12.57421875" style="366" customWidth="1"/>
    <col min="11" max="12" width="12.140625" style="366" customWidth="1"/>
    <col min="13" max="13" width="15.8515625" style="366" customWidth="1"/>
    <col min="14" max="14" width="11.421875" style="366" customWidth="1"/>
    <col min="15" max="15" width="3.28125" style="366" customWidth="1"/>
    <col min="16" max="16" width="10.8515625" style="366" customWidth="1"/>
    <col min="17" max="17" width="9.57421875" style="366" customWidth="1"/>
    <col min="18" max="18" width="4.8515625" style="366" customWidth="1"/>
    <col min="19" max="19" width="15.421875" style="366" customWidth="1"/>
    <col min="20" max="20" width="13.00390625" style="366" customWidth="1"/>
    <col min="21" max="16384" width="9.140625" style="366" customWidth="1"/>
  </cols>
  <sheetData>
    <row r="1" spans="1:5" ht="15.75">
      <c r="A1" s="364" t="s">
        <v>486</v>
      </c>
      <c r="B1" s="365" t="s">
        <v>487</v>
      </c>
      <c r="C1" s="365"/>
      <c r="D1" s="365"/>
      <c r="E1" s="365"/>
    </row>
    <row r="2" spans="1:6" ht="15">
      <c r="A2" s="364"/>
      <c r="C2" s="367" t="s">
        <v>488</v>
      </c>
      <c r="D2" s="367" t="s">
        <v>489</v>
      </c>
      <c r="E2" s="367" t="s">
        <v>490</v>
      </c>
      <c r="F2" s="368" t="s">
        <v>491</v>
      </c>
    </row>
    <row r="3" spans="1:19" ht="15">
      <c r="A3" s="364"/>
      <c r="B3" s="369" t="s">
        <v>359</v>
      </c>
      <c r="C3" s="369"/>
      <c r="D3" s="369"/>
      <c r="E3" s="369"/>
      <c r="F3" s="370" t="s">
        <v>492</v>
      </c>
      <c r="G3" s="370" t="s">
        <v>310</v>
      </c>
      <c r="H3" s="370" t="s">
        <v>493</v>
      </c>
      <c r="I3" s="370" t="s">
        <v>494</v>
      </c>
      <c r="J3" s="370" t="s">
        <v>495</v>
      </c>
      <c r="K3" s="370" t="s">
        <v>496</v>
      </c>
      <c r="L3" s="370" t="s">
        <v>533</v>
      </c>
      <c r="M3" s="369" t="s">
        <v>315</v>
      </c>
      <c r="N3" s="369" t="s">
        <v>497</v>
      </c>
      <c r="O3" s="369"/>
      <c r="P3" s="369" t="s">
        <v>498</v>
      </c>
      <c r="Q3" s="369" t="s">
        <v>499</v>
      </c>
      <c r="R3" s="369"/>
      <c r="S3" s="369" t="s">
        <v>222</v>
      </c>
    </row>
    <row r="4" spans="1:19" s="383" customFormat="1" ht="15">
      <c r="A4" s="371" t="s">
        <v>486</v>
      </c>
      <c r="B4" s="372" t="s">
        <v>500</v>
      </c>
      <c r="C4" s="373">
        <v>5</v>
      </c>
      <c r="D4" s="373">
        <v>5</v>
      </c>
      <c r="E4" s="373">
        <v>10</v>
      </c>
      <c r="F4" s="374">
        <v>0.1</v>
      </c>
      <c r="G4" s="374">
        <v>3</v>
      </c>
      <c r="H4" s="375">
        <v>1</v>
      </c>
      <c r="I4" s="376">
        <v>1</v>
      </c>
      <c r="J4" s="374">
        <v>2</v>
      </c>
      <c r="K4" s="375"/>
      <c r="L4" s="375"/>
      <c r="M4" s="377">
        <v>12000</v>
      </c>
      <c r="N4" s="378"/>
      <c r="O4" s="379"/>
      <c r="P4" s="380"/>
      <c r="Q4" s="380"/>
      <c r="R4" s="381"/>
      <c r="S4" s="382"/>
    </row>
    <row r="5" spans="1:19" s="383" customFormat="1" ht="15">
      <c r="A5" s="371"/>
      <c r="B5" s="372" t="s">
        <v>501</v>
      </c>
      <c r="C5" s="373">
        <v>8</v>
      </c>
      <c r="D5" s="373">
        <v>6</v>
      </c>
      <c r="E5" s="373">
        <v>14</v>
      </c>
      <c r="F5" s="374">
        <v>1</v>
      </c>
      <c r="G5" s="374">
        <v>7</v>
      </c>
      <c r="H5" s="375">
        <v>2</v>
      </c>
      <c r="I5" s="376">
        <v>2</v>
      </c>
      <c r="J5" s="374">
        <v>3</v>
      </c>
      <c r="K5" s="375"/>
      <c r="L5" s="375"/>
      <c r="M5" s="377">
        <v>60000</v>
      </c>
      <c r="N5" s="378"/>
      <c r="O5" s="379"/>
      <c r="P5" s="380"/>
      <c r="Q5" s="380"/>
      <c r="R5" s="381"/>
      <c r="S5" s="382"/>
    </row>
    <row r="6" spans="1:19" s="383" customFormat="1" ht="15">
      <c r="A6" s="371"/>
      <c r="B6" s="372" t="s">
        <v>502</v>
      </c>
      <c r="C6" s="373">
        <v>20</v>
      </c>
      <c r="D6" s="373"/>
      <c r="E6" s="373">
        <v>20</v>
      </c>
      <c r="F6" s="374"/>
      <c r="G6" s="374"/>
      <c r="H6" s="375"/>
      <c r="I6" s="376"/>
      <c r="J6" s="374"/>
      <c r="K6" s="375"/>
      <c r="L6" s="375"/>
      <c r="M6" s="377"/>
      <c r="N6" s="378"/>
      <c r="O6" s="379"/>
      <c r="P6" s="380"/>
      <c r="Q6" s="380"/>
      <c r="R6" s="381"/>
      <c r="S6" s="382"/>
    </row>
    <row r="7" spans="1:19" s="383" customFormat="1" ht="15">
      <c r="A7" s="371"/>
      <c r="B7" s="372" t="s">
        <v>503</v>
      </c>
      <c r="C7" s="373" t="s">
        <v>92</v>
      </c>
      <c r="D7" s="373" t="s">
        <v>92</v>
      </c>
      <c r="E7" s="373">
        <v>20</v>
      </c>
      <c r="F7" s="374"/>
      <c r="G7" s="374">
        <v>2</v>
      </c>
      <c r="H7" s="375"/>
      <c r="I7" s="376"/>
      <c r="J7" s="374">
        <v>3</v>
      </c>
      <c r="K7" s="375"/>
      <c r="L7" s="375"/>
      <c r="M7" s="377"/>
      <c r="N7" s="378"/>
      <c r="O7" s="379"/>
      <c r="P7" s="380"/>
      <c r="Q7" s="380"/>
      <c r="R7" s="381"/>
      <c r="S7" s="382"/>
    </row>
    <row r="8" spans="1:19" s="383" customFormat="1" ht="15">
      <c r="A8" s="371" t="s">
        <v>486</v>
      </c>
      <c r="B8" s="372" t="s">
        <v>504</v>
      </c>
      <c r="C8" s="373">
        <v>2</v>
      </c>
      <c r="D8" s="373"/>
      <c r="E8" s="373">
        <v>2</v>
      </c>
      <c r="F8" s="375">
        <v>0.2</v>
      </c>
      <c r="G8" s="375">
        <v>0.5</v>
      </c>
      <c r="H8" s="375">
        <v>0.5</v>
      </c>
      <c r="I8" s="384">
        <v>0.5</v>
      </c>
      <c r="J8" s="375"/>
      <c r="K8" s="375"/>
      <c r="L8" s="375"/>
      <c r="M8" s="377">
        <v>2000</v>
      </c>
      <c r="N8" s="378"/>
      <c r="O8" s="379"/>
      <c r="P8" s="380"/>
      <c r="Q8" s="380"/>
      <c r="R8" s="381"/>
      <c r="S8" s="382"/>
    </row>
    <row r="9" spans="1:19" s="383" customFormat="1" ht="15">
      <c r="A9" s="371" t="s">
        <v>486</v>
      </c>
      <c r="B9" s="372" t="s">
        <v>505</v>
      </c>
      <c r="C9" s="373">
        <v>0</v>
      </c>
      <c r="D9" s="373">
        <v>4</v>
      </c>
      <c r="E9" s="373">
        <v>4</v>
      </c>
      <c r="F9" s="374">
        <v>0.5</v>
      </c>
      <c r="G9" s="374">
        <v>1</v>
      </c>
      <c r="H9" s="375">
        <v>0.2</v>
      </c>
      <c r="I9" s="376">
        <v>0.2</v>
      </c>
      <c r="J9" s="374">
        <v>0.5</v>
      </c>
      <c r="K9" s="375"/>
      <c r="L9" s="375"/>
      <c r="M9" s="377">
        <v>1500</v>
      </c>
      <c r="N9" s="378"/>
      <c r="O9" s="379"/>
      <c r="P9" s="380"/>
      <c r="Q9" s="380"/>
      <c r="R9" s="381"/>
      <c r="S9" s="382"/>
    </row>
    <row r="10" spans="1:19" s="383" customFormat="1" ht="15">
      <c r="A10" s="371" t="s">
        <v>486</v>
      </c>
      <c r="B10" s="372" t="s">
        <v>506</v>
      </c>
      <c r="C10" s="373">
        <v>2</v>
      </c>
      <c r="D10" s="373">
        <v>1</v>
      </c>
      <c r="E10" s="373">
        <v>3</v>
      </c>
      <c r="F10" s="374">
        <v>0.2</v>
      </c>
      <c r="G10" s="374">
        <v>2</v>
      </c>
      <c r="H10" s="375">
        <v>1</v>
      </c>
      <c r="I10" s="376">
        <v>1</v>
      </c>
      <c r="J10" s="374">
        <v>1</v>
      </c>
      <c r="K10" s="375"/>
      <c r="L10" s="375"/>
      <c r="M10" s="377">
        <v>4000</v>
      </c>
      <c r="N10" s="378"/>
      <c r="O10" s="379"/>
      <c r="P10" s="380"/>
      <c r="Q10" s="380"/>
      <c r="R10" s="381"/>
      <c r="S10" s="382"/>
    </row>
    <row r="11" spans="1:19" s="383" customFormat="1" ht="15">
      <c r="A11" s="371" t="s">
        <v>486</v>
      </c>
      <c r="B11" s="372" t="s">
        <v>507</v>
      </c>
      <c r="C11" s="373">
        <v>2</v>
      </c>
      <c r="D11" s="373">
        <v>1</v>
      </c>
      <c r="E11" s="373">
        <v>3</v>
      </c>
      <c r="F11" s="375">
        <v>0.2</v>
      </c>
      <c r="G11" s="375">
        <v>2</v>
      </c>
      <c r="H11" s="375">
        <v>1</v>
      </c>
      <c r="I11" s="384">
        <v>1</v>
      </c>
      <c r="J11" s="375">
        <v>1</v>
      </c>
      <c r="K11" s="375"/>
      <c r="L11" s="375"/>
      <c r="M11" s="377">
        <v>4000</v>
      </c>
      <c r="N11" s="378"/>
      <c r="O11" s="379"/>
      <c r="P11" s="380"/>
      <c r="Q11" s="380"/>
      <c r="R11" s="381"/>
      <c r="S11" s="382"/>
    </row>
    <row r="12" spans="1:19" s="383" customFormat="1" ht="15">
      <c r="A12" s="371" t="s">
        <v>486</v>
      </c>
      <c r="B12" s="372" t="s">
        <v>508</v>
      </c>
      <c r="C12" s="373">
        <v>5</v>
      </c>
      <c r="D12" s="373">
        <v>0</v>
      </c>
      <c r="E12" s="373">
        <v>5</v>
      </c>
      <c r="F12" s="375"/>
      <c r="G12" s="375"/>
      <c r="H12" s="375"/>
      <c r="I12" s="384"/>
      <c r="J12" s="375">
        <v>2</v>
      </c>
      <c r="K12" s="375"/>
      <c r="L12" s="375"/>
      <c r="M12" s="377">
        <v>2000</v>
      </c>
      <c r="N12" s="378"/>
      <c r="O12" s="379"/>
      <c r="P12" s="380"/>
      <c r="Q12" s="380"/>
      <c r="R12" s="381"/>
      <c r="S12" s="382"/>
    </row>
    <row r="13" spans="1:19" s="383" customFormat="1" ht="15">
      <c r="A13" s="371" t="s">
        <v>486</v>
      </c>
      <c r="B13" s="372" t="s">
        <v>509</v>
      </c>
      <c r="C13" s="373">
        <v>4</v>
      </c>
      <c r="D13" s="373">
        <v>2</v>
      </c>
      <c r="E13" s="373">
        <v>6</v>
      </c>
      <c r="F13" s="375"/>
      <c r="G13" s="375">
        <v>2</v>
      </c>
      <c r="H13" s="375">
        <v>2</v>
      </c>
      <c r="I13" s="384">
        <v>2</v>
      </c>
      <c r="J13" s="375"/>
      <c r="K13" s="375"/>
      <c r="L13" s="375"/>
      <c r="M13" s="377">
        <v>10000</v>
      </c>
      <c r="N13" s="378"/>
      <c r="O13" s="379"/>
      <c r="P13" s="380"/>
      <c r="Q13" s="380"/>
      <c r="R13" s="381"/>
      <c r="S13" s="382"/>
    </row>
    <row r="14" spans="1:19" s="383" customFormat="1" ht="15">
      <c r="A14" s="371" t="s">
        <v>486</v>
      </c>
      <c r="B14" s="372" t="s">
        <v>510</v>
      </c>
      <c r="C14" s="373" t="s">
        <v>92</v>
      </c>
      <c r="D14" s="373" t="s">
        <v>92</v>
      </c>
      <c r="E14" s="373" t="s">
        <v>92</v>
      </c>
      <c r="F14" s="375"/>
      <c r="G14" s="375"/>
      <c r="H14" s="375"/>
      <c r="I14" s="384"/>
      <c r="J14" s="375"/>
      <c r="K14" s="375"/>
      <c r="L14" s="375"/>
      <c r="M14" s="377"/>
      <c r="N14" s="378"/>
      <c r="O14" s="379"/>
      <c r="P14" s="380"/>
      <c r="Q14" s="380"/>
      <c r="R14" s="381"/>
      <c r="S14" s="382"/>
    </row>
    <row r="15" spans="1:19" s="383" customFormat="1" ht="15">
      <c r="A15" s="371"/>
      <c r="B15" s="372" t="s">
        <v>511</v>
      </c>
      <c r="C15" s="373">
        <v>0</v>
      </c>
      <c r="D15" s="373">
        <v>17</v>
      </c>
      <c r="E15" s="373">
        <v>17</v>
      </c>
      <c r="F15" s="375">
        <v>4</v>
      </c>
      <c r="G15" s="375">
        <v>8</v>
      </c>
      <c r="H15" s="375">
        <v>3</v>
      </c>
      <c r="I15" s="384">
        <v>2</v>
      </c>
      <c r="J15" s="375">
        <v>17</v>
      </c>
      <c r="K15" s="375"/>
      <c r="L15" s="375"/>
      <c r="M15" s="377">
        <v>102000</v>
      </c>
      <c r="N15" s="378"/>
      <c r="O15" s="379"/>
      <c r="P15" s="380"/>
      <c r="Q15" s="380"/>
      <c r="R15" s="381"/>
      <c r="S15" s="382"/>
    </row>
    <row r="16" spans="1:19" s="383" customFormat="1" ht="15">
      <c r="A16" s="371"/>
      <c r="B16" s="372" t="s">
        <v>512</v>
      </c>
      <c r="C16" s="373">
        <v>1</v>
      </c>
      <c r="D16" s="373">
        <v>1</v>
      </c>
      <c r="E16" s="373">
        <v>2</v>
      </c>
      <c r="F16" s="375"/>
      <c r="G16" s="375">
        <v>2</v>
      </c>
      <c r="H16" s="375">
        <v>1</v>
      </c>
      <c r="I16" s="384">
        <v>1</v>
      </c>
      <c r="J16" s="375">
        <v>1</v>
      </c>
      <c r="K16" s="375"/>
      <c r="L16" s="375"/>
      <c r="M16" s="377">
        <v>14000</v>
      </c>
      <c r="N16" s="378"/>
      <c r="O16" s="379"/>
      <c r="P16" s="380"/>
      <c r="Q16" s="380"/>
      <c r="R16" s="381"/>
      <c r="S16" s="382"/>
    </row>
    <row r="17" spans="1:19" s="383" customFormat="1" ht="15">
      <c r="A17" s="371"/>
      <c r="B17" s="372" t="s">
        <v>513</v>
      </c>
      <c r="C17" s="373" t="s">
        <v>92</v>
      </c>
      <c r="D17" s="373" t="s">
        <v>92</v>
      </c>
      <c r="E17" s="373">
        <v>1</v>
      </c>
      <c r="F17" s="375"/>
      <c r="G17" s="375"/>
      <c r="H17" s="375"/>
      <c r="I17" s="384"/>
      <c r="J17" s="375"/>
      <c r="K17" s="375"/>
      <c r="L17" s="375"/>
      <c r="M17" s="377"/>
      <c r="N17" s="378"/>
      <c r="O17" s="379"/>
      <c r="P17" s="380"/>
      <c r="Q17" s="380"/>
      <c r="R17" s="381"/>
      <c r="S17" s="382"/>
    </row>
    <row r="18" spans="1:19" s="383" customFormat="1" ht="15">
      <c r="A18" s="371" t="s">
        <v>486</v>
      </c>
      <c r="B18" s="372" t="s">
        <v>110</v>
      </c>
      <c r="C18" s="373" t="s">
        <v>92</v>
      </c>
      <c r="D18" s="373" t="s">
        <v>92</v>
      </c>
      <c r="E18" s="373">
        <v>1</v>
      </c>
      <c r="F18" s="375">
        <v>1</v>
      </c>
      <c r="G18" s="375">
        <v>1</v>
      </c>
      <c r="H18" s="375">
        <v>1</v>
      </c>
      <c r="I18" s="384">
        <v>1</v>
      </c>
      <c r="J18" s="375">
        <v>1</v>
      </c>
      <c r="K18" s="375"/>
      <c r="L18" s="375"/>
      <c r="M18" s="377">
        <v>8000</v>
      </c>
      <c r="N18" s="378"/>
      <c r="O18" s="379"/>
      <c r="P18" s="380"/>
      <c r="Q18" s="380"/>
      <c r="R18" s="381"/>
      <c r="S18" s="382"/>
    </row>
    <row r="19" spans="1:19" s="383" customFormat="1" ht="15">
      <c r="A19" s="371"/>
      <c r="B19" s="385" t="s">
        <v>514</v>
      </c>
      <c r="C19" s="386"/>
      <c r="D19" s="386"/>
      <c r="E19" s="386"/>
      <c r="F19" s="375"/>
      <c r="G19" s="375"/>
      <c r="H19" s="375"/>
      <c r="I19" s="384"/>
      <c r="J19" s="375"/>
      <c r="K19" s="375"/>
      <c r="L19" s="375"/>
      <c r="M19" s="377"/>
      <c r="N19" s="378"/>
      <c r="O19" s="379"/>
      <c r="P19" s="380"/>
      <c r="Q19" s="380"/>
      <c r="R19" s="381"/>
      <c r="S19" s="382"/>
    </row>
    <row r="20" spans="1:19" s="383" customFormat="1" ht="15">
      <c r="A20" s="371"/>
      <c r="B20" s="385" t="s">
        <v>515</v>
      </c>
      <c r="C20" s="386"/>
      <c r="D20" s="386"/>
      <c r="E20" s="386"/>
      <c r="F20" s="375"/>
      <c r="G20" s="375"/>
      <c r="H20" s="375"/>
      <c r="I20" s="384"/>
      <c r="J20" s="375"/>
      <c r="K20" s="375"/>
      <c r="L20" s="375"/>
      <c r="M20" s="377"/>
      <c r="N20" s="378"/>
      <c r="O20" s="379"/>
      <c r="P20" s="380"/>
      <c r="Q20" s="380"/>
      <c r="R20" s="381"/>
      <c r="S20" s="382"/>
    </row>
    <row r="21" spans="1:19" s="383" customFormat="1" ht="15">
      <c r="A21" s="371"/>
      <c r="B21" s="385"/>
      <c r="C21" s="386"/>
      <c r="D21" s="386"/>
      <c r="E21" s="386"/>
      <c r="F21" s="375"/>
      <c r="G21" s="375"/>
      <c r="H21" s="375"/>
      <c r="I21" s="384"/>
      <c r="J21" s="375"/>
      <c r="K21" s="375"/>
      <c r="L21" s="375"/>
      <c r="M21" s="377"/>
      <c r="N21" s="378"/>
      <c r="O21" s="379"/>
      <c r="P21" s="380"/>
      <c r="Q21" s="380"/>
      <c r="R21" s="381"/>
      <c r="S21" s="382"/>
    </row>
    <row r="22" spans="1:19" s="383" customFormat="1" ht="15">
      <c r="A22" s="371"/>
      <c r="B22" s="385"/>
      <c r="C22" s="386"/>
      <c r="D22" s="386"/>
      <c r="E22" s="386"/>
      <c r="F22" s="375"/>
      <c r="G22" s="375"/>
      <c r="H22" s="375"/>
      <c r="I22" s="384"/>
      <c r="J22" s="375"/>
      <c r="K22" s="375"/>
      <c r="L22" s="375"/>
      <c r="M22" s="377"/>
      <c r="N22" s="378"/>
      <c r="O22" s="379"/>
      <c r="P22" s="380"/>
      <c r="Q22" s="380"/>
      <c r="R22" s="381"/>
      <c r="S22" s="382"/>
    </row>
    <row r="23" spans="1:19" s="383" customFormat="1" ht="15">
      <c r="A23" s="371"/>
      <c r="B23" s="385" t="s">
        <v>516</v>
      </c>
      <c r="C23" s="386"/>
      <c r="D23" s="386"/>
      <c r="E23" s="386"/>
      <c r="F23" s="375"/>
      <c r="G23" s="375"/>
      <c r="H23" s="375"/>
      <c r="I23" s="384"/>
      <c r="J23" s="375"/>
      <c r="K23" s="375"/>
      <c r="L23" s="375"/>
      <c r="M23" s="377"/>
      <c r="N23" s="378"/>
      <c r="O23" s="379"/>
      <c r="P23" s="380"/>
      <c r="Q23" s="380"/>
      <c r="R23" s="381"/>
      <c r="S23" s="382"/>
    </row>
    <row r="24" spans="1:19" s="383" customFormat="1" ht="15">
      <c r="A24" s="371"/>
      <c r="B24" s="385" t="s">
        <v>517</v>
      </c>
      <c r="C24" s="386"/>
      <c r="D24" s="386"/>
      <c r="E24" s="386"/>
      <c r="F24" s="375"/>
      <c r="G24" s="375"/>
      <c r="H24" s="375"/>
      <c r="I24" s="384"/>
      <c r="J24" s="375"/>
      <c r="K24" s="375"/>
      <c r="L24" s="375"/>
      <c r="M24" s="377"/>
      <c r="N24" s="378"/>
      <c r="O24" s="379"/>
      <c r="P24" s="380"/>
      <c r="Q24" s="380"/>
      <c r="R24" s="381"/>
      <c r="S24" s="382"/>
    </row>
    <row r="25" spans="1:19" s="383" customFormat="1" ht="15.75">
      <c r="A25" s="371"/>
      <c r="B25" s="387"/>
      <c r="C25" s="375"/>
      <c r="D25" s="375"/>
      <c r="E25" s="375"/>
      <c r="F25" s="375"/>
      <c r="G25" s="375"/>
      <c r="H25" s="375"/>
      <c r="I25" s="384"/>
      <c r="J25" s="375"/>
      <c r="K25" s="375"/>
      <c r="L25" s="375"/>
      <c r="M25" s="377"/>
      <c r="N25" s="378"/>
      <c r="O25" s="379"/>
      <c r="P25" s="380"/>
      <c r="Q25" s="380"/>
      <c r="R25" s="381"/>
      <c r="S25" s="382"/>
    </row>
    <row r="26" spans="1:19" s="383" customFormat="1" ht="15">
      <c r="A26" s="371"/>
      <c r="B26" s="388" t="s">
        <v>518</v>
      </c>
      <c r="C26" s="375"/>
      <c r="D26" s="375"/>
      <c r="E26" s="375"/>
      <c r="F26" s="375"/>
      <c r="G26" s="375"/>
      <c r="H26" s="375">
        <v>0.2</v>
      </c>
      <c r="I26" s="384"/>
      <c r="J26" s="375"/>
      <c r="K26" s="375">
        <v>2</v>
      </c>
      <c r="L26" s="375"/>
      <c r="M26" s="377"/>
      <c r="N26" s="378"/>
      <c r="O26" s="379"/>
      <c r="P26" s="380"/>
      <c r="Q26" s="380"/>
      <c r="R26" s="381"/>
      <c r="S26" s="382"/>
    </row>
    <row r="27" spans="1:19" s="383" customFormat="1" ht="15">
      <c r="A27" s="371"/>
      <c r="B27" s="389"/>
      <c r="C27" s="375"/>
      <c r="D27" s="375"/>
      <c r="E27" s="375"/>
      <c r="F27" s="375"/>
      <c r="G27" s="375"/>
      <c r="H27" s="375"/>
      <c r="I27" s="384"/>
      <c r="J27" s="375"/>
      <c r="K27" s="375"/>
      <c r="L27" s="375"/>
      <c r="M27" s="377"/>
      <c r="N27" s="378"/>
      <c r="O27" s="379"/>
      <c r="P27" s="380"/>
      <c r="Q27" s="380"/>
      <c r="R27" s="381"/>
      <c r="S27" s="382"/>
    </row>
    <row r="28" spans="1:19" s="383" customFormat="1" ht="15">
      <c r="A28" s="371"/>
      <c r="B28" s="389"/>
      <c r="C28" s="375"/>
      <c r="D28" s="375"/>
      <c r="E28" s="375"/>
      <c r="F28" s="375"/>
      <c r="G28" s="375"/>
      <c r="H28" s="375"/>
      <c r="I28" s="384"/>
      <c r="J28" s="375"/>
      <c r="K28" s="375"/>
      <c r="L28" s="375"/>
      <c r="M28" s="377"/>
      <c r="N28" s="378"/>
      <c r="O28" s="379"/>
      <c r="P28" s="380"/>
      <c r="Q28" s="380"/>
      <c r="R28" s="381"/>
      <c r="S28" s="382"/>
    </row>
    <row r="29" spans="1:19" s="383" customFormat="1" ht="15">
      <c r="A29" s="371"/>
      <c r="B29" s="389"/>
      <c r="C29" s="375"/>
      <c r="D29" s="375"/>
      <c r="E29" s="375"/>
      <c r="F29" s="375"/>
      <c r="G29" s="375"/>
      <c r="H29" s="375"/>
      <c r="I29" s="384"/>
      <c r="J29" s="375"/>
      <c r="K29" s="375"/>
      <c r="L29" s="375"/>
      <c r="M29" s="377"/>
      <c r="N29" s="378"/>
      <c r="O29" s="379"/>
      <c r="P29" s="380"/>
      <c r="Q29" s="380"/>
      <c r="R29" s="381"/>
      <c r="S29" s="382"/>
    </row>
    <row r="30" spans="1:19" s="383" customFormat="1" ht="15">
      <c r="A30" s="371"/>
      <c r="B30" s="390"/>
      <c r="C30" s="375"/>
      <c r="D30" s="375"/>
      <c r="E30" s="375"/>
      <c r="F30" s="375"/>
      <c r="G30" s="375"/>
      <c r="H30" s="375"/>
      <c r="I30" s="384"/>
      <c r="J30" s="375"/>
      <c r="K30" s="375"/>
      <c r="L30" s="375"/>
      <c r="M30" s="377"/>
      <c r="N30" s="378"/>
      <c r="O30" s="379"/>
      <c r="P30" s="380"/>
      <c r="Q30" s="380"/>
      <c r="R30" s="381"/>
      <c r="S30" s="382"/>
    </row>
    <row r="31" spans="1:19" s="383" customFormat="1" ht="15">
      <c r="A31" s="371"/>
      <c r="B31" s="389"/>
      <c r="C31" s="375"/>
      <c r="D31" s="375"/>
      <c r="E31" s="375"/>
      <c r="F31" s="375"/>
      <c r="G31" s="375"/>
      <c r="H31" s="375"/>
      <c r="I31" s="384"/>
      <c r="J31" s="375"/>
      <c r="K31" s="375"/>
      <c r="L31" s="375"/>
      <c r="M31" s="377"/>
      <c r="N31" s="378"/>
      <c r="O31" s="379"/>
      <c r="P31" s="380"/>
      <c r="Q31" s="380"/>
      <c r="R31" s="381"/>
      <c r="S31" s="382"/>
    </row>
    <row r="32" spans="1:19" s="401" customFormat="1" ht="15">
      <c r="A32" s="371"/>
      <c r="B32" s="391"/>
      <c r="C32" s="392"/>
      <c r="D32" s="392"/>
      <c r="E32" s="392"/>
      <c r="F32" s="393"/>
      <c r="G32" s="393"/>
      <c r="H32" s="393"/>
      <c r="I32" s="394"/>
      <c r="J32" s="393"/>
      <c r="K32" s="393"/>
      <c r="L32" s="393"/>
      <c r="M32" s="395"/>
      <c r="N32" s="396"/>
      <c r="O32" s="397"/>
      <c r="P32" s="398"/>
      <c r="Q32" s="398"/>
      <c r="R32" s="399"/>
      <c r="S32" s="400"/>
    </row>
    <row r="33" spans="1:19" s="383" customFormat="1" ht="15">
      <c r="A33" s="371"/>
      <c r="B33" s="390"/>
      <c r="C33" s="375"/>
      <c r="D33" s="375"/>
      <c r="E33" s="375"/>
      <c r="F33" s="375"/>
      <c r="G33" s="375"/>
      <c r="H33" s="375"/>
      <c r="I33" s="384"/>
      <c r="J33" s="375"/>
      <c r="K33" s="375"/>
      <c r="L33" s="375"/>
      <c r="M33" s="377"/>
      <c r="N33" s="378"/>
      <c r="O33" s="379"/>
      <c r="P33" s="380"/>
      <c r="Q33" s="380"/>
      <c r="R33" s="381"/>
      <c r="S33" s="382"/>
    </row>
    <row r="34" spans="1:19" s="383" customFormat="1" ht="15">
      <c r="A34" s="371"/>
      <c r="B34" s="389"/>
      <c r="C34" s="375"/>
      <c r="D34" s="375"/>
      <c r="E34" s="375"/>
      <c r="F34" s="375"/>
      <c r="G34" s="375"/>
      <c r="H34" s="375"/>
      <c r="I34" s="384"/>
      <c r="J34" s="375"/>
      <c r="K34" s="375"/>
      <c r="L34" s="375"/>
      <c r="M34" s="377"/>
      <c r="N34" s="378"/>
      <c r="O34" s="379"/>
      <c r="P34" s="380"/>
      <c r="Q34" s="380"/>
      <c r="R34" s="381"/>
      <c r="S34" s="382"/>
    </row>
    <row r="35" spans="1:19" s="383" customFormat="1" ht="15">
      <c r="A35" s="371"/>
      <c r="B35" s="389"/>
      <c r="C35" s="375"/>
      <c r="D35" s="375"/>
      <c r="E35" s="375"/>
      <c r="F35" s="402"/>
      <c r="G35" s="375"/>
      <c r="H35" s="375"/>
      <c r="I35" s="384"/>
      <c r="J35" s="375"/>
      <c r="K35" s="375"/>
      <c r="L35" s="375"/>
      <c r="M35" s="377"/>
      <c r="N35" s="378"/>
      <c r="O35" s="379"/>
      <c r="P35" s="380"/>
      <c r="Q35" s="380"/>
      <c r="R35" s="381"/>
      <c r="S35" s="382"/>
    </row>
    <row r="36" spans="1:19" s="383" customFormat="1" ht="15">
      <c r="A36" s="371"/>
      <c r="B36" s="389"/>
      <c r="C36" s="375"/>
      <c r="D36" s="375"/>
      <c r="E36" s="375"/>
      <c r="F36" s="375"/>
      <c r="G36" s="375"/>
      <c r="H36" s="375"/>
      <c r="I36" s="384"/>
      <c r="J36" s="375"/>
      <c r="K36" s="375"/>
      <c r="L36" s="375"/>
      <c r="M36" s="377"/>
      <c r="N36" s="378"/>
      <c r="O36" s="379"/>
      <c r="P36" s="380"/>
      <c r="Q36" s="380"/>
      <c r="R36" s="381"/>
      <c r="S36" s="382"/>
    </row>
    <row r="37" spans="1:19" s="383" customFormat="1" ht="15">
      <c r="A37" s="371"/>
      <c r="B37" s="389"/>
      <c r="C37" s="375"/>
      <c r="D37" s="375"/>
      <c r="E37" s="375"/>
      <c r="F37" s="375"/>
      <c r="G37" s="375"/>
      <c r="H37" s="375"/>
      <c r="I37" s="384"/>
      <c r="J37" s="375"/>
      <c r="K37" s="375"/>
      <c r="L37" s="375"/>
      <c r="M37" s="377"/>
      <c r="N37" s="378"/>
      <c r="O37" s="379"/>
      <c r="P37" s="380"/>
      <c r="Q37" s="380"/>
      <c r="R37" s="381"/>
      <c r="S37" s="382"/>
    </row>
    <row r="38" spans="1:19" s="383" customFormat="1" ht="15">
      <c r="A38" s="371"/>
      <c r="B38" s="389"/>
      <c r="C38" s="375"/>
      <c r="D38" s="375"/>
      <c r="E38" s="375"/>
      <c r="F38" s="375"/>
      <c r="G38" s="375"/>
      <c r="H38" s="375"/>
      <c r="I38" s="384"/>
      <c r="J38" s="375"/>
      <c r="K38" s="375"/>
      <c r="L38" s="375"/>
      <c r="M38" s="377"/>
      <c r="N38" s="378"/>
      <c r="O38" s="379"/>
      <c r="P38" s="380"/>
      <c r="Q38" s="380"/>
      <c r="R38" s="381"/>
      <c r="S38" s="382"/>
    </row>
    <row r="39" spans="1:19" s="383" customFormat="1" ht="15">
      <c r="A39" s="371"/>
      <c r="B39" s="389"/>
      <c r="C39" s="375"/>
      <c r="D39" s="375"/>
      <c r="E39" s="375"/>
      <c r="F39" s="375"/>
      <c r="G39" s="375"/>
      <c r="H39" s="375"/>
      <c r="I39" s="384"/>
      <c r="J39" s="375"/>
      <c r="K39" s="375"/>
      <c r="L39" s="375"/>
      <c r="M39" s="377"/>
      <c r="N39" s="378"/>
      <c r="O39" s="379"/>
      <c r="P39" s="380"/>
      <c r="Q39" s="380"/>
      <c r="R39" s="381"/>
      <c r="S39" s="382"/>
    </row>
    <row r="40" spans="1:19" s="383" customFormat="1" ht="15">
      <c r="A40" s="371"/>
      <c r="B40" s="389"/>
      <c r="C40" s="375"/>
      <c r="D40" s="375"/>
      <c r="E40" s="375"/>
      <c r="F40" s="375"/>
      <c r="G40" s="375"/>
      <c r="H40" s="375"/>
      <c r="I40" s="384"/>
      <c r="J40" s="375"/>
      <c r="K40" s="375"/>
      <c r="L40" s="375"/>
      <c r="M40" s="377"/>
      <c r="N40" s="378"/>
      <c r="O40" s="379"/>
      <c r="P40" s="380"/>
      <c r="Q40" s="380"/>
      <c r="R40" s="381"/>
      <c r="S40" s="382"/>
    </row>
    <row r="41" spans="1:19" s="383" customFormat="1" ht="15">
      <c r="A41" s="371"/>
      <c r="B41" s="389"/>
      <c r="C41" s="375"/>
      <c r="D41" s="375"/>
      <c r="E41" s="375"/>
      <c r="F41" s="375"/>
      <c r="G41" s="375"/>
      <c r="H41" s="375"/>
      <c r="I41" s="384"/>
      <c r="J41" s="375"/>
      <c r="K41" s="375"/>
      <c r="L41" s="375"/>
      <c r="M41" s="377"/>
      <c r="N41" s="378"/>
      <c r="O41" s="379"/>
      <c r="P41" s="380"/>
      <c r="Q41" s="380"/>
      <c r="R41" s="381"/>
      <c r="S41" s="382"/>
    </row>
    <row r="42" spans="1:19" s="383" customFormat="1" ht="15">
      <c r="A42" s="371"/>
      <c r="B42" s="389"/>
      <c r="C42" s="375"/>
      <c r="D42" s="375"/>
      <c r="E42" s="375"/>
      <c r="F42" s="375"/>
      <c r="G42" s="375"/>
      <c r="H42" s="375"/>
      <c r="I42" s="384"/>
      <c r="J42" s="375"/>
      <c r="K42" s="375"/>
      <c r="L42" s="375"/>
      <c r="M42" s="377"/>
      <c r="N42" s="378"/>
      <c r="O42" s="379"/>
      <c r="P42" s="380"/>
      <c r="Q42" s="380"/>
      <c r="R42" s="381"/>
      <c r="S42" s="382"/>
    </row>
    <row r="43" spans="1:19" s="383" customFormat="1" ht="15">
      <c r="A43" s="371"/>
      <c r="B43" s="389"/>
      <c r="C43" s="375"/>
      <c r="D43" s="375"/>
      <c r="E43" s="375"/>
      <c r="F43" s="375"/>
      <c r="G43" s="375"/>
      <c r="H43" s="375"/>
      <c r="I43" s="384"/>
      <c r="J43" s="375"/>
      <c r="K43" s="375"/>
      <c r="L43" s="375"/>
      <c r="M43" s="377"/>
      <c r="N43" s="378"/>
      <c r="O43" s="379"/>
      <c r="P43" s="380"/>
      <c r="Q43" s="380"/>
      <c r="R43" s="381"/>
      <c r="S43" s="382"/>
    </row>
    <row r="44" spans="1:19" s="383" customFormat="1" ht="15">
      <c r="A44" s="371"/>
      <c r="B44" s="390"/>
      <c r="C44" s="375"/>
      <c r="D44" s="375"/>
      <c r="E44" s="375"/>
      <c r="F44" s="375"/>
      <c r="G44" s="375"/>
      <c r="H44" s="375"/>
      <c r="I44" s="384"/>
      <c r="J44" s="375"/>
      <c r="K44" s="375"/>
      <c r="L44" s="375"/>
      <c r="M44" s="377"/>
      <c r="N44" s="378"/>
      <c r="O44" s="379"/>
      <c r="P44" s="380"/>
      <c r="Q44" s="380"/>
      <c r="R44" s="381"/>
      <c r="S44" s="382"/>
    </row>
    <row r="45" spans="1:19" s="383" customFormat="1" ht="15">
      <c r="A45" s="371"/>
      <c r="B45" s="390"/>
      <c r="C45" s="375"/>
      <c r="D45" s="375"/>
      <c r="E45" s="375"/>
      <c r="F45" s="375"/>
      <c r="G45" s="375"/>
      <c r="H45" s="375"/>
      <c r="I45" s="384"/>
      <c r="J45" s="375"/>
      <c r="K45" s="375"/>
      <c r="L45" s="375"/>
      <c r="M45" s="377"/>
      <c r="N45" s="378"/>
      <c r="O45" s="379"/>
      <c r="P45" s="380"/>
      <c r="Q45" s="380"/>
      <c r="R45" s="381"/>
      <c r="S45" s="382"/>
    </row>
    <row r="46" spans="1:19" s="383" customFormat="1" ht="15">
      <c r="A46" s="371"/>
      <c r="B46" s="390"/>
      <c r="C46" s="375"/>
      <c r="D46" s="375"/>
      <c r="E46" s="375"/>
      <c r="F46" s="375"/>
      <c r="G46" s="375"/>
      <c r="H46" s="375"/>
      <c r="I46" s="384"/>
      <c r="J46" s="375"/>
      <c r="K46" s="375"/>
      <c r="L46" s="375"/>
      <c r="M46" s="377"/>
      <c r="N46" s="378"/>
      <c r="O46" s="379"/>
      <c r="P46" s="380"/>
      <c r="Q46" s="380"/>
      <c r="R46" s="381"/>
      <c r="S46" s="382"/>
    </row>
    <row r="47" spans="1:19" s="383" customFormat="1" ht="15">
      <c r="A47" s="371"/>
      <c r="B47" s="389"/>
      <c r="C47" s="375"/>
      <c r="D47" s="375"/>
      <c r="E47" s="375"/>
      <c r="F47" s="375"/>
      <c r="G47" s="375"/>
      <c r="H47" s="375"/>
      <c r="I47" s="384"/>
      <c r="J47" s="375"/>
      <c r="K47" s="375"/>
      <c r="L47" s="375"/>
      <c r="M47" s="377"/>
      <c r="N47" s="378"/>
      <c r="O47" s="379"/>
      <c r="P47" s="380"/>
      <c r="Q47" s="380"/>
      <c r="R47" s="381"/>
      <c r="S47" s="382"/>
    </row>
    <row r="48" spans="1:19" s="383" customFormat="1" ht="15">
      <c r="A48" s="371"/>
      <c r="B48" s="389"/>
      <c r="C48" s="375"/>
      <c r="D48" s="375"/>
      <c r="E48" s="375"/>
      <c r="F48" s="375"/>
      <c r="G48" s="375"/>
      <c r="H48" s="375"/>
      <c r="I48" s="384"/>
      <c r="J48" s="375"/>
      <c r="K48" s="375"/>
      <c r="L48" s="375"/>
      <c r="M48" s="377"/>
      <c r="N48" s="378"/>
      <c r="O48" s="379"/>
      <c r="P48" s="380"/>
      <c r="Q48" s="380"/>
      <c r="R48" s="381"/>
      <c r="S48" s="382"/>
    </row>
    <row r="49" spans="1:19" s="383" customFormat="1" ht="15">
      <c r="A49" s="371"/>
      <c r="B49" s="389"/>
      <c r="C49" s="375"/>
      <c r="D49" s="375"/>
      <c r="E49" s="375"/>
      <c r="F49" s="375"/>
      <c r="G49" s="375"/>
      <c r="H49" s="375"/>
      <c r="I49" s="384"/>
      <c r="J49" s="375"/>
      <c r="K49" s="375"/>
      <c r="L49" s="375"/>
      <c r="M49" s="377"/>
      <c r="N49" s="378"/>
      <c r="O49" s="379"/>
      <c r="P49" s="380"/>
      <c r="Q49" s="380"/>
      <c r="R49" s="381"/>
      <c r="S49" s="382"/>
    </row>
    <row r="50" spans="1:19" s="383" customFormat="1" ht="15">
      <c r="A50" s="371"/>
      <c r="B50" s="389"/>
      <c r="C50" s="375"/>
      <c r="D50" s="375"/>
      <c r="E50" s="375"/>
      <c r="F50" s="375"/>
      <c r="G50" s="375"/>
      <c r="H50" s="375"/>
      <c r="I50" s="384"/>
      <c r="J50" s="375"/>
      <c r="K50" s="375"/>
      <c r="L50" s="375"/>
      <c r="M50" s="377"/>
      <c r="N50" s="378"/>
      <c r="O50" s="379"/>
      <c r="P50" s="380"/>
      <c r="Q50" s="380"/>
      <c r="R50" s="381"/>
      <c r="S50" s="382"/>
    </row>
    <row r="51" spans="1:19" s="383" customFormat="1" ht="15">
      <c r="A51" s="371"/>
      <c r="B51" s="389"/>
      <c r="C51" s="375"/>
      <c r="D51" s="375"/>
      <c r="E51" s="375"/>
      <c r="F51" s="375"/>
      <c r="G51" s="375"/>
      <c r="H51" s="375"/>
      <c r="I51" s="384"/>
      <c r="J51" s="375"/>
      <c r="K51" s="375"/>
      <c r="L51" s="375"/>
      <c r="M51" s="377"/>
      <c r="N51" s="378"/>
      <c r="O51" s="379"/>
      <c r="P51" s="380"/>
      <c r="Q51" s="380"/>
      <c r="R51" s="381"/>
      <c r="S51" s="382"/>
    </row>
    <row r="52" spans="1:19" s="383" customFormat="1" ht="15">
      <c r="A52" s="371"/>
      <c r="B52" s="389"/>
      <c r="C52" s="375"/>
      <c r="D52" s="375"/>
      <c r="E52" s="375"/>
      <c r="F52" s="375"/>
      <c r="G52" s="375"/>
      <c r="H52" s="375"/>
      <c r="I52" s="384"/>
      <c r="J52" s="375"/>
      <c r="K52" s="375"/>
      <c r="L52" s="375"/>
      <c r="M52" s="377"/>
      <c r="N52" s="378"/>
      <c r="O52" s="379"/>
      <c r="P52" s="380"/>
      <c r="Q52" s="380"/>
      <c r="R52" s="381"/>
      <c r="S52" s="382"/>
    </row>
    <row r="53" spans="1:19" s="383" customFormat="1" ht="15">
      <c r="A53" s="371"/>
      <c r="B53" s="389"/>
      <c r="C53" s="375"/>
      <c r="D53" s="375"/>
      <c r="E53" s="375"/>
      <c r="F53" s="375"/>
      <c r="G53" s="375"/>
      <c r="H53" s="375"/>
      <c r="I53" s="384"/>
      <c r="J53" s="375"/>
      <c r="K53" s="375"/>
      <c r="L53" s="375"/>
      <c r="M53" s="377"/>
      <c r="N53" s="378"/>
      <c r="O53" s="379"/>
      <c r="P53" s="380"/>
      <c r="Q53" s="380"/>
      <c r="R53" s="381"/>
      <c r="S53" s="382"/>
    </row>
    <row r="54" spans="1:19" s="383" customFormat="1" ht="15">
      <c r="A54" s="371"/>
      <c r="B54" s="389"/>
      <c r="C54" s="375"/>
      <c r="D54" s="375"/>
      <c r="E54" s="375"/>
      <c r="F54" s="375"/>
      <c r="G54" s="375"/>
      <c r="H54" s="375"/>
      <c r="I54" s="384"/>
      <c r="J54" s="375"/>
      <c r="K54" s="375"/>
      <c r="L54" s="375"/>
      <c r="M54" s="377"/>
      <c r="N54" s="378"/>
      <c r="O54" s="379"/>
      <c r="P54" s="380"/>
      <c r="Q54" s="380"/>
      <c r="R54" s="381"/>
      <c r="S54" s="382"/>
    </row>
    <row r="55" spans="2:19" ht="15">
      <c r="B55" s="403"/>
      <c r="C55" s="404"/>
      <c r="D55" s="404"/>
      <c r="E55" s="404"/>
      <c r="F55" s="405"/>
      <c r="G55" s="405"/>
      <c r="H55" s="405"/>
      <c r="I55" s="406"/>
      <c r="J55" s="405"/>
      <c r="K55" s="405"/>
      <c r="L55" s="405"/>
      <c r="M55" s="407"/>
      <c r="N55" s="408"/>
      <c r="O55" s="404"/>
      <c r="P55" s="409"/>
      <c r="Q55" s="409"/>
      <c r="R55" s="405"/>
      <c r="S55" s="404"/>
    </row>
    <row r="56" spans="2:19" ht="15">
      <c r="B56" s="403"/>
      <c r="C56" s="404"/>
      <c r="D56" s="404"/>
      <c r="E56" s="404"/>
      <c r="F56" s="405"/>
      <c r="G56" s="405"/>
      <c r="H56" s="405"/>
      <c r="I56" s="406"/>
      <c r="J56" s="405"/>
      <c r="K56" s="405"/>
      <c r="L56" s="405"/>
      <c r="M56" s="407"/>
      <c r="N56" s="408"/>
      <c r="O56" s="404"/>
      <c r="P56" s="409"/>
      <c r="Q56" s="409"/>
      <c r="R56" s="405"/>
      <c r="S56" s="404"/>
    </row>
    <row r="57" spans="2:19" ht="15">
      <c r="B57" s="403"/>
      <c r="C57" s="404"/>
      <c r="D57" s="404"/>
      <c r="E57" s="404"/>
      <c r="F57" s="405"/>
      <c r="G57" s="405"/>
      <c r="H57" s="405"/>
      <c r="I57" s="406"/>
      <c r="J57" s="405"/>
      <c r="K57" s="405"/>
      <c r="L57" s="405"/>
      <c r="M57" s="407"/>
      <c r="N57" s="408"/>
      <c r="O57" s="404"/>
      <c r="P57" s="409"/>
      <c r="Q57" s="409"/>
      <c r="R57" s="405"/>
      <c r="S57" s="404"/>
    </row>
    <row r="58" spans="2:19" ht="15">
      <c r="B58" s="403"/>
      <c r="C58" s="404"/>
      <c r="D58" s="404"/>
      <c r="E58" s="404"/>
      <c r="F58" s="405"/>
      <c r="G58" s="405"/>
      <c r="H58" s="405"/>
      <c r="I58" s="406"/>
      <c r="J58" s="405"/>
      <c r="K58" s="405"/>
      <c r="L58" s="405" t="s">
        <v>302</v>
      </c>
      <c r="M58" s="407"/>
      <c r="N58" s="408"/>
      <c r="O58" s="404"/>
      <c r="P58" s="409"/>
      <c r="Q58" s="409"/>
      <c r="R58" s="405"/>
      <c r="S58" s="404"/>
    </row>
    <row r="59" spans="2:19" ht="15">
      <c r="B59" s="410" t="s">
        <v>519</v>
      </c>
      <c r="C59" s="410"/>
      <c r="D59" s="410"/>
      <c r="E59" s="410"/>
      <c r="F59" s="411">
        <f aca="true" t="shared" si="0" ref="F59:K59">SUM(F4:F54)</f>
        <v>7.2</v>
      </c>
      <c r="G59" s="411">
        <f t="shared" si="0"/>
        <v>30.5</v>
      </c>
      <c r="H59" s="411">
        <f t="shared" si="0"/>
        <v>12.899999999999999</v>
      </c>
      <c r="I59" s="411">
        <f t="shared" si="0"/>
        <v>11.7</v>
      </c>
      <c r="J59" s="411">
        <f t="shared" si="0"/>
        <v>31.5</v>
      </c>
      <c r="K59" s="411">
        <f t="shared" si="0"/>
        <v>2</v>
      </c>
      <c r="L59" s="433">
        <f>SUM(F59:K59)/44</f>
        <v>2.1772727272727272</v>
      </c>
      <c r="M59" s="412"/>
      <c r="N59" s="412"/>
      <c r="O59" s="413"/>
      <c r="P59" s="413"/>
      <c r="Q59" s="414"/>
      <c r="R59" s="413"/>
      <c r="S59" s="413"/>
    </row>
    <row r="60" spans="2:19" ht="15"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2"/>
      <c r="N60" s="412"/>
      <c r="O60" s="413"/>
      <c r="P60" s="413"/>
      <c r="Q60" s="413"/>
      <c r="R60" s="413"/>
      <c r="S60" s="413"/>
    </row>
    <row r="61" spans="2:19" ht="15">
      <c r="B61" s="432" t="s">
        <v>532</v>
      </c>
      <c r="C61" s="432"/>
      <c r="D61" s="432"/>
      <c r="E61" s="432"/>
      <c r="F61" s="431">
        <v>3144</v>
      </c>
      <c r="G61" s="431">
        <v>1999</v>
      </c>
      <c r="H61" s="431">
        <v>2156</v>
      </c>
      <c r="I61" s="431">
        <v>3023</v>
      </c>
      <c r="J61" s="431">
        <v>1895</v>
      </c>
      <c r="K61" s="431">
        <v>1668</v>
      </c>
      <c r="L61" s="431"/>
      <c r="M61" s="412"/>
      <c r="N61" s="412"/>
      <c r="O61" s="413"/>
      <c r="P61" s="413"/>
      <c r="Q61" s="413"/>
      <c r="R61" s="413"/>
      <c r="S61" s="413"/>
    </row>
    <row r="62" spans="2:19" ht="15">
      <c r="B62" s="413" t="s">
        <v>449</v>
      </c>
      <c r="C62" s="413"/>
      <c r="D62" s="413"/>
      <c r="E62" s="413"/>
      <c r="F62" s="421">
        <f>F63*40</f>
        <v>2768.8</v>
      </c>
      <c r="G62" s="421">
        <f aca="true" t="shared" si="1" ref="G62:K62">G63*40</f>
        <v>1690</v>
      </c>
      <c r="H62" s="421">
        <f t="shared" si="1"/>
        <v>2210.4</v>
      </c>
      <c r="I62" s="421">
        <f t="shared" si="1"/>
        <v>2768.8</v>
      </c>
      <c r="J62" s="421">
        <f t="shared" si="1"/>
        <v>1690</v>
      </c>
      <c r="K62" s="421">
        <f t="shared" si="1"/>
        <v>1690</v>
      </c>
      <c r="L62" s="421"/>
      <c r="M62" s="412"/>
      <c r="N62" s="412"/>
      <c r="O62" s="413"/>
      <c r="P62" s="413"/>
      <c r="Q62" s="413"/>
      <c r="R62" s="413"/>
      <c r="S62" s="413"/>
    </row>
    <row r="63" spans="2:19" ht="15">
      <c r="B63" s="413" t="s">
        <v>520</v>
      </c>
      <c r="C63" s="413"/>
      <c r="D63" s="413"/>
      <c r="E63" s="413"/>
      <c r="F63" s="420">
        <v>69.22</v>
      </c>
      <c r="G63" s="420">
        <v>42.25</v>
      </c>
      <c r="H63" s="420">
        <v>55.26</v>
      </c>
      <c r="I63" s="420">
        <v>69.22</v>
      </c>
      <c r="J63" s="420">
        <v>42.25</v>
      </c>
      <c r="K63" s="420">
        <v>42.25</v>
      </c>
      <c r="L63" s="420"/>
      <c r="M63" s="412"/>
      <c r="N63" s="412"/>
      <c r="O63" s="413"/>
      <c r="P63" s="413"/>
      <c r="Q63" s="413"/>
      <c r="R63" s="413"/>
      <c r="S63" s="413"/>
    </row>
    <row r="64" spans="2:19" ht="15">
      <c r="B64" s="427" t="s">
        <v>521</v>
      </c>
      <c r="C64" s="427"/>
      <c r="D64" s="427"/>
      <c r="E64" s="427"/>
      <c r="F64" s="428">
        <f aca="true" t="shared" si="2" ref="F64:K64">+F63*F59*40</f>
        <v>19935.36</v>
      </c>
      <c r="G64" s="428">
        <f t="shared" si="2"/>
        <v>51545</v>
      </c>
      <c r="H64" s="428">
        <f t="shared" si="2"/>
        <v>28514.159999999996</v>
      </c>
      <c r="I64" s="428">
        <f t="shared" si="2"/>
        <v>32394.959999999995</v>
      </c>
      <c r="J64" s="428">
        <f t="shared" si="2"/>
        <v>53235</v>
      </c>
      <c r="K64" s="428">
        <f t="shared" si="2"/>
        <v>3380</v>
      </c>
      <c r="L64" s="428"/>
      <c r="M64" s="434">
        <f>SUM(M4:M63)/1000</f>
        <v>219.5</v>
      </c>
      <c r="N64" s="428">
        <f>SUM(N4:N63)</f>
        <v>0</v>
      </c>
      <c r="O64" s="429">
        <f>SUM(O4:O63)</f>
        <v>0</v>
      </c>
      <c r="P64" s="429"/>
      <c r="Q64" s="429"/>
      <c r="R64" s="429"/>
      <c r="S64" s="430">
        <f>SUM(F64:P64)</f>
        <v>189223.97999999998</v>
      </c>
    </row>
    <row r="65" spans="2:19" ht="15">
      <c r="B65" s="366" t="s">
        <v>521</v>
      </c>
      <c r="F65" s="422">
        <v>22639</v>
      </c>
      <c r="G65" s="422">
        <v>60978</v>
      </c>
      <c r="H65" s="422">
        <v>27816</v>
      </c>
      <c r="I65" s="422">
        <v>35366</v>
      </c>
      <c r="J65" s="422">
        <v>59679</v>
      </c>
      <c r="K65" s="422">
        <f aca="true" t="shared" si="3" ref="K65">K61*K59</f>
        <v>3336</v>
      </c>
      <c r="L65" s="434">
        <f>SUM(F65:K65)/1000</f>
        <v>209.814</v>
      </c>
      <c r="M65" s="423"/>
      <c r="N65" s="423"/>
      <c r="O65" s="423"/>
      <c r="P65" s="423"/>
      <c r="Q65" s="423"/>
      <c r="R65" s="423"/>
      <c r="S65" s="423"/>
    </row>
    <row r="66" spans="2:19" ht="15">
      <c r="B66" s="368" t="s">
        <v>522</v>
      </c>
      <c r="C66" s="368"/>
      <c r="D66" s="368"/>
      <c r="E66" s="368"/>
      <c r="F66" s="424">
        <f aca="true" t="shared" si="4" ref="F66:M66">+F64*0.46</f>
        <v>9170.2656</v>
      </c>
      <c r="G66" s="424">
        <f t="shared" si="4"/>
        <v>23710.7</v>
      </c>
      <c r="H66" s="424">
        <f t="shared" si="4"/>
        <v>13116.513599999998</v>
      </c>
      <c r="I66" s="424">
        <f t="shared" si="4"/>
        <v>14901.681599999998</v>
      </c>
      <c r="J66" s="424">
        <f t="shared" si="4"/>
        <v>24488.100000000002</v>
      </c>
      <c r="K66" s="424">
        <f t="shared" si="4"/>
        <v>1554.8</v>
      </c>
      <c r="L66" s="424"/>
      <c r="M66" s="424">
        <f t="shared" si="4"/>
        <v>100.97</v>
      </c>
      <c r="N66" s="424">
        <f aca="true" t="shared" si="5" ref="N66">+N64*0.44</f>
        <v>0</v>
      </c>
      <c r="O66" s="423">
        <f>+O64*0.42</f>
        <v>0</v>
      </c>
      <c r="P66" s="423"/>
      <c r="Q66" s="423"/>
      <c r="R66" s="423"/>
      <c r="S66" s="423">
        <f>SUM(F66:R66)</f>
        <v>87043.03080000001</v>
      </c>
    </row>
    <row r="67" spans="6:19" ht="15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</row>
    <row r="68" spans="2:19" ht="15">
      <c r="B68" s="415" t="s">
        <v>523</v>
      </c>
      <c r="C68" s="415"/>
      <c r="D68" s="415"/>
      <c r="E68" s="415"/>
      <c r="F68" s="425">
        <f aca="true" t="shared" si="6" ref="F68:O68">+F64+F66</f>
        <v>29105.6256</v>
      </c>
      <c r="G68" s="425">
        <f t="shared" si="6"/>
        <v>75255.7</v>
      </c>
      <c r="H68" s="425">
        <f t="shared" si="6"/>
        <v>41630.673599999995</v>
      </c>
      <c r="I68" s="425">
        <f t="shared" si="6"/>
        <v>47296.641599999995</v>
      </c>
      <c r="J68" s="425">
        <f t="shared" si="6"/>
        <v>77723.1</v>
      </c>
      <c r="K68" s="425">
        <f t="shared" si="6"/>
        <v>4934.8</v>
      </c>
      <c r="L68" s="425"/>
      <c r="M68" s="425">
        <f t="shared" si="6"/>
        <v>320.47</v>
      </c>
      <c r="N68" s="425">
        <f t="shared" si="6"/>
        <v>0</v>
      </c>
      <c r="O68" s="425">
        <f t="shared" si="6"/>
        <v>0</v>
      </c>
      <c r="P68" s="425"/>
      <c r="Q68" s="425"/>
      <c r="R68" s="425"/>
      <c r="S68" s="425">
        <f>SUM(F68:P68)</f>
        <v>276267.0108</v>
      </c>
    </row>
    <row r="69" spans="6:19" ht="15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</row>
    <row r="70" spans="2:19" ht="15">
      <c r="B70" s="416" t="s">
        <v>524</v>
      </c>
      <c r="C70" s="416"/>
      <c r="D70" s="416"/>
      <c r="E70" s="41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>
        <f>S68</f>
        <v>276267.0108</v>
      </c>
    </row>
    <row r="71" spans="7:13" ht="15">
      <c r="G71" s="417"/>
      <c r="H71" s="417"/>
      <c r="I71" s="417"/>
      <c r="J71" s="417"/>
      <c r="M71" s="417"/>
    </row>
    <row r="72" spans="7:10" ht="15">
      <c r="G72" s="418"/>
      <c r="H72" s="418"/>
      <c r="I72" s="418"/>
      <c r="J72" s="418"/>
    </row>
    <row r="73" ht="15">
      <c r="B73" s="366" t="s">
        <v>525</v>
      </c>
    </row>
    <row r="74" ht="15">
      <c r="B74" s="366" t="s">
        <v>526</v>
      </c>
    </row>
    <row r="75" ht="15">
      <c r="B75" s="366" t="s">
        <v>527</v>
      </c>
    </row>
    <row r="76" ht="15">
      <c r="B76" s="366" t="s">
        <v>528</v>
      </c>
    </row>
    <row r="77" ht="15">
      <c r="B77" s="366" t="s">
        <v>529</v>
      </c>
    </row>
    <row r="78" ht="15">
      <c r="B78" s="366" t="s">
        <v>530</v>
      </c>
    </row>
    <row r="79" spans="2:5" ht="15">
      <c r="B79" s="419" t="s">
        <v>531</v>
      </c>
      <c r="C79" s="419"/>
      <c r="D79" s="419"/>
      <c r="E79" s="419"/>
    </row>
  </sheetData>
  <printOptions gridLines="1"/>
  <pageMargins left="0.7" right="0.7" top="0.75" bottom="0.75" header="0.3" footer="0.3"/>
  <pageSetup horizontalDpi="600" verticalDpi="6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workbookViewId="0" topLeftCell="A1">
      <selection activeCell="B22" sqref="B22"/>
    </sheetView>
  </sheetViews>
  <sheetFormatPr defaultColWidth="8.8515625" defaultRowHeight="15"/>
  <cols>
    <col min="1" max="1" width="33.7109375" style="38" bestFit="1" customWidth="1"/>
    <col min="2" max="2" width="8.8515625" style="38" customWidth="1"/>
    <col min="3" max="3" width="12.00390625" style="38" bestFit="1" customWidth="1"/>
    <col min="4" max="4" width="6.8515625" style="38" bestFit="1" customWidth="1"/>
    <col min="5" max="5" width="10.00390625" style="38" bestFit="1" customWidth="1"/>
    <col min="6" max="6" width="9.140625" style="38" bestFit="1" customWidth="1"/>
    <col min="7" max="7" width="9.140625" style="40" customWidth="1"/>
    <col min="8" max="8" width="9.00390625" style="38" bestFit="1" customWidth="1"/>
    <col min="9" max="9" width="8.57421875" style="38" bestFit="1" customWidth="1"/>
    <col min="10" max="10" width="9.57421875" style="38" bestFit="1" customWidth="1"/>
    <col min="11" max="11" width="9.7109375" style="38" bestFit="1" customWidth="1"/>
    <col min="12" max="12" width="9.7109375" style="40" customWidth="1"/>
    <col min="13" max="13" width="10.7109375" style="38" bestFit="1" customWidth="1"/>
    <col min="14" max="14" width="11.7109375" style="38" bestFit="1" customWidth="1"/>
    <col min="15" max="16384" width="8.8515625" style="38" customWidth="1"/>
  </cols>
  <sheetData>
    <row r="1" spans="1:14" ht="23.25">
      <c r="A1" s="465" t="s">
        <v>60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7"/>
    </row>
    <row r="2" spans="1:28" ht="15">
      <c r="A2" s="8" t="s">
        <v>0</v>
      </c>
      <c r="B2" s="3"/>
      <c r="C2" s="470" t="s">
        <v>1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2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1" t="s">
        <v>137</v>
      </c>
      <c r="H3" s="61" t="s">
        <v>59</v>
      </c>
      <c r="I3" s="5" t="s">
        <v>8</v>
      </c>
      <c r="J3" s="5" t="s">
        <v>9</v>
      </c>
      <c r="K3" s="5" t="s">
        <v>10</v>
      </c>
      <c r="L3" s="61" t="s">
        <v>138</v>
      </c>
      <c r="M3" s="61" t="s">
        <v>11</v>
      </c>
      <c r="N3" s="10" t="s">
        <v>12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5">
      <c r="A4" s="39" t="s">
        <v>61</v>
      </c>
      <c r="B4" s="2">
        <f>SUM(C4:N4)-G4-L4</f>
        <v>360</v>
      </c>
      <c r="C4" s="11"/>
      <c r="D4" s="11"/>
      <c r="E4" s="11"/>
      <c r="F4" s="11"/>
      <c r="G4" s="57">
        <f>H4/40</f>
        <v>3</v>
      </c>
      <c r="H4" s="56">
        <v>120</v>
      </c>
      <c r="I4" s="11"/>
      <c r="J4" s="11"/>
      <c r="K4" s="11"/>
      <c r="L4" s="57">
        <f>M4/40</f>
        <v>6</v>
      </c>
      <c r="M4" s="56">
        <v>240</v>
      </c>
      <c r="N4" s="12"/>
      <c r="O4" s="48" t="s">
        <v>82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ht="15">
      <c r="A5" s="39" t="s">
        <v>62</v>
      </c>
      <c r="B5" s="2">
        <f aca="true" t="shared" si="0" ref="B5:B17">SUM(C5:N5)-G5-L5</f>
        <v>120</v>
      </c>
      <c r="C5" s="13"/>
      <c r="D5" s="11"/>
      <c r="E5" s="11"/>
      <c r="F5" s="11"/>
      <c r="G5" s="57">
        <f aca="true" t="shared" si="1" ref="G5:G17">H5/40</f>
        <v>1</v>
      </c>
      <c r="H5" s="56">
        <v>40</v>
      </c>
      <c r="I5" s="11"/>
      <c r="J5" s="11"/>
      <c r="K5" s="11"/>
      <c r="L5" s="57">
        <f aca="true" t="shared" si="2" ref="L5:L17">M5/40</f>
        <v>2</v>
      </c>
      <c r="M5" s="56">
        <v>80</v>
      </c>
      <c r="N5" s="12"/>
      <c r="O5" s="48" t="s">
        <v>113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ht="15">
      <c r="A6" s="39" t="s">
        <v>63</v>
      </c>
      <c r="B6" s="2">
        <f t="shared" si="0"/>
        <v>140</v>
      </c>
      <c r="C6" s="13"/>
      <c r="D6" s="11"/>
      <c r="E6" s="11"/>
      <c r="F6" s="11"/>
      <c r="G6" s="57">
        <f t="shared" si="1"/>
        <v>1</v>
      </c>
      <c r="H6" s="56">
        <v>40</v>
      </c>
      <c r="I6" s="11"/>
      <c r="J6" s="11"/>
      <c r="K6" s="11"/>
      <c r="L6" s="57">
        <f t="shared" si="2"/>
        <v>2.5</v>
      </c>
      <c r="M6" s="56">
        <v>100</v>
      </c>
      <c r="N6" s="12"/>
      <c r="O6" s="48" t="s">
        <v>114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5">
      <c r="A7" s="39" t="s">
        <v>64</v>
      </c>
      <c r="B7" s="2">
        <f t="shared" si="0"/>
        <v>96.00000000000001</v>
      </c>
      <c r="C7" s="13"/>
      <c r="D7" s="11"/>
      <c r="E7" s="11"/>
      <c r="F7" s="11"/>
      <c r="G7" s="57">
        <f t="shared" si="1"/>
        <v>0.8</v>
      </c>
      <c r="H7" s="56">
        <v>32</v>
      </c>
      <c r="I7" s="11"/>
      <c r="J7" s="11"/>
      <c r="K7" s="11"/>
      <c r="L7" s="57">
        <f t="shared" si="2"/>
        <v>1.6</v>
      </c>
      <c r="M7" s="56">
        <v>64</v>
      </c>
      <c r="N7" s="12"/>
      <c r="O7" s="48" t="s">
        <v>115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ht="15">
      <c r="A8" s="39" t="s">
        <v>65</v>
      </c>
      <c r="B8" s="2">
        <f t="shared" si="0"/>
        <v>248</v>
      </c>
      <c r="C8" s="13"/>
      <c r="D8" s="11"/>
      <c r="E8" s="11"/>
      <c r="F8" s="11"/>
      <c r="G8" s="57">
        <f t="shared" si="1"/>
        <v>1</v>
      </c>
      <c r="H8" s="56">
        <v>40</v>
      </c>
      <c r="I8" s="11"/>
      <c r="J8" s="11"/>
      <c r="K8" s="11"/>
      <c r="L8" s="57">
        <f t="shared" si="2"/>
        <v>5.2</v>
      </c>
      <c r="M8" s="56">
        <v>208</v>
      </c>
      <c r="N8" s="12"/>
      <c r="O8" s="48" t="s">
        <v>116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t="15">
      <c r="A9" s="39" t="s">
        <v>66</v>
      </c>
      <c r="B9" s="2">
        <f t="shared" si="0"/>
        <v>320</v>
      </c>
      <c r="C9" s="13"/>
      <c r="D9" s="11"/>
      <c r="E9" s="11"/>
      <c r="F9" s="11"/>
      <c r="G9" s="57">
        <f t="shared" si="1"/>
        <v>3</v>
      </c>
      <c r="H9" s="56">
        <v>120</v>
      </c>
      <c r="I9" s="11"/>
      <c r="J9" s="11"/>
      <c r="K9" s="11"/>
      <c r="L9" s="57">
        <f t="shared" si="2"/>
        <v>5</v>
      </c>
      <c r="M9" s="56">
        <v>200</v>
      </c>
      <c r="N9" s="12"/>
      <c r="O9" s="48" t="s">
        <v>117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ht="15">
      <c r="A10" s="39" t="s">
        <v>67</v>
      </c>
      <c r="B10" s="2">
        <f t="shared" si="0"/>
        <v>7.999999999999999</v>
      </c>
      <c r="C10" s="13"/>
      <c r="D10" s="11"/>
      <c r="E10" s="11"/>
      <c r="F10" s="11"/>
      <c r="G10" s="57">
        <f t="shared" si="1"/>
        <v>0</v>
      </c>
      <c r="H10" s="56">
        <v>0</v>
      </c>
      <c r="I10" s="11"/>
      <c r="J10" s="11"/>
      <c r="K10" s="11"/>
      <c r="L10" s="57">
        <f t="shared" si="2"/>
        <v>0.2</v>
      </c>
      <c r="M10" s="56">
        <v>8</v>
      </c>
      <c r="N10" s="12"/>
      <c r="O10" s="48" t="s">
        <v>118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15">
      <c r="A11" s="39" t="s">
        <v>68</v>
      </c>
      <c r="B11" s="2">
        <f t="shared" si="0"/>
        <v>56</v>
      </c>
      <c r="C11" s="13"/>
      <c r="D11" s="11"/>
      <c r="E11" s="11"/>
      <c r="F11" s="11"/>
      <c r="G11" s="57">
        <f t="shared" si="1"/>
        <v>0.4</v>
      </c>
      <c r="H11" s="56">
        <v>16</v>
      </c>
      <c r="I11" s="11"/>
      <c r="J11" s="11"/>
      <c r="K11" s="11"/>
      <c r="L11" s="57">
        <f t="shared" si="2"/>
        <v>1</v>
      </c>
      <c r="M11" s="56">
        <v>40</v>
      </c>
      <c r="N11" s="12"/>
      <c r="O11" s="48" t="s">
        <v>119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ht="15">
      <c r="A12" s="39" t="s">
        <v>69</v>
      </c>
      <c r="B12" s="2">
        <f t="shared" si="0"/>
        <v>63.999999999999986</v>
      </c>
      <c r="C12" s="13"/>
      <c r="D12" s="11"/>
      <c r="E12" s="11"/>
      <c r="F12" s="11"/>
      <c r="G12" s="57">
        <f t="shared" si="1"/>
        <v>0.4</v>
      </c>
      <c r="H12" s="56">
        <v>16</v>
      </c>
      <c r="I12" s="11"/>
      <c r="J12" s="11"/>
      <c r="K12" s="11"/>
      <c r="L12" s="57">
        <f t="shared" si="2"/>
        <v>1.2</v>
      </c>
      <c r="M12" s="56">
        <v>48</v>
      </c>
      <c r="N12" s="12"/>
      <c r="O12" s="48" t="s">
        <v>120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ht="15">
      <c r="A13" s="39" t="s">
        <v>70</v>
      </c>
      <c r="B13" s="2">
        <f t="shared" si="0"/>
        <v>48</v>
      </c>
      <c r="C13" s="13"/>
      <c r="D13" s="11"/>
      <c r="E13" s="11"/>
      <c r="F13" s="11"/>
      <c r="G13" s="57">
        <f t="shared" si="1"/>
        <v>0.2</v>
      </c>
      <c r="H13" s="56">
        <v>8</v>
      </c>
      <c r="I13" s="11"/>
      <c r="J13" s="11"/>
      <c r="K13" s="11"/>
      <c r="L13" s="57">
        <f t="shared" si="2"/>
        <v>1</v>
      </c>
      <c r="M13" s="56">
        <v>40</v>
      </c>
      <c r="N13" s="12"/>
      <c r="O13" s="48" t="s">
        <v>121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15">
      <c r="A14" s="39" t="s">
        <v>71</v>
      </c>
      <c r="B14" s="2">
        <f t="shared" si="0"/>
        <v>0</v>
      </c>
      <c r="C14" s="13"/>
      <c r="D14" s="11"/>
      <c r="E14" s="11"/>
      <c r="F14" s="11"/>
      <c r="G14" s="57">
        <f t="shared" si="1"/>
        <v>0</v>
      </c>
      <c r="H14" s="56">
        <v>0</v>
      </c>
      <c r="I14" s="11"/>
      <c r="J14" s="11"/>
      <c r="K14" s="11"/>
      <c r="L14" s="57">
        <f t="shared" si="2"/>
        <v>0</v>
      </c>
      <c r="M14" s="56">
        <v>0</v>
      </c>
      <c r="N14" s="12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15">
      <c r="A15" s="39" t="s">
        <v>72</v>
      </c>
      <c r="B15" s="2">
        <f t="shared" si="0"/>
        <v>48</v>
      </c>
      <c r="C15" s="13"/>
      <c r="D15" s="11"/>
      <c r="E15" s="11"/>
      <c r="F15" s="11"/>
      <c r="G15" s="57">
        <f t="shared" si="1"/>
        <v>0.2</v>
      </c>
      <c r="H15" s="56">
        <v>8</v>
      </c>
      <c r="I15" s="11"/>
      <c r="J15" s="11"/>
      <c r="K15" s="11"/>
      <c r="L15" s="57">
        <f t="shared" si="2"/>
        <v>1</v>
      </c>
      <c r="M15" s="56">
        <v>40</v>
      </c>
      <c r="N15" s="12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ht="15">
      <c r="A16" s="39" t="s">
        <v>73</v>
      </c>
      <c r="B16" s="2">
        <f t="shared" si="0"/>
        <v>120</v>
      </c>
      <c r="C16" s="13"/>
      <c r="D16" s="11"/>
      <c r="E16" s="11"/>
      <c r="F16" s="11"/>
      <c r="G16" s="57">
        <f t="shared" si="1"/>
        <v>1</v>
      </c>
      <c r="H16" s="56">
        <v>40</v>
      </c>
      <c r="I16" s="11"/>
      <c r="J16" s="11"/>
      <c r="K16" s="11"/>
      <c r="L16" s="57">
        <f t="shared" si="2"/>
        <v>2</v>
      </c>
      <c r="M16" s="56">
        <v>80</v>
      </c>
      <c r="N16" s="12"/>
      <c r="O16" s="48" t="s">
        <v>122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ht="15">
      <c r="A17" s="39" t="s">
        <v>74</v>
      </c>
      <c r="B17" s="2">
        <f t="shared" si="0"/>
        <v>7.999999999999999</v>
      </c>
      <c r="C17" s="13"/>
      <c r="D17" s="11"/>
      <c r="E17" s="11"/>
      <c r="F17" s="11"/>
      <c r="G17" s="57">
        <f t="shared" si="1"/>
        <v>0</v>
      </c>
      <c r="H17" s="56">
        <v>0</v>
      </c>
      <c r="I17" s="11"/>
      <c r="J17" s="11"/>
      <c r="K17" s="11"/>
      <c r="L17" s="57">
        <f t="shared" si="2"/>
        <v>0.2</v>
      </c>
      <c r="M17" s="56">
        <v>8</v>
      </c>
      <c r="N17" s="12"/>
      <c r="O17" s="48" t="s">
        <v>123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15">
      <c r="A18" s="6"/>
      <c r="B18" s="1"/>
      <c r="C18" s="1"/>
      <c r="D18" s="1"/>
      <c r="E18" s="1"/>
      <c r="F18" s="1"/>
      <c r="G18" s="62"/>
      <c r="H18" s="63"/>
      <c r="I18" s="44"/>
      <c r="J18" s="44"/>
      <c r="K18" s="44"/>
      <c r="L18" s="62"/>
      <c r="M18" s="63"/>
      <c r="N18" s="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t="15.75" thickBot="1">
      <c r="A19" s="14" t="s">
        <v>2</v>
      </c>
      <c r="B19" s="17">
        <f>SUM(B4:B17)</f>
        <v>1636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8:28" ht="15">
      <c r="H20" s="38" t="s">
        <v>451</v>
      </c>
      <c r="M20" s="40" t="s">
        <v>451</v>
      </c>
      <c r="O20" s="48" t="s">
        <v>124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0" customFormat="1" ht="15">
      <c r="A21" s="186" t="s">
        <v>479</v>
      </c>
      <c r="B21" s="358">
        <f>G21+L21</f>
        <v>88.56</v>
      </c>
      <c r="G21" s="188">
        <v>37.731</v>
      </c>
      <c r="H21" s="188">
        <v>3.144</v>
      </c>
      <c r="I21" s="188" t="s">
        <v>324</v>
      </c>
      <c r="J21" s="188"/>
      <c r="K21" s="188"/>
      <c r="L21" s="188">
        <v>50.829</v>
      </c>
      <c r="M21" s="188">
        <v>1.759</v>
      </c>
      <c r="N21" s="40" t="s">
        <v>324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0" customFormat="1" ht="15">
      <c r="A22" s="186" t="s">
        <v>480</v>
      </c>
      <c r="B22" s="320">
        <f>G22+L22</f>
        <v>90.11295425</v>
      </c>
      <c r="G22" s="188">
        <f>H22*G24</f>
        <v>38.38824</v>
      </c>
      <c r="H22" s="188">
        <f>H21*B25</f>
        <v>3.1990200000000004</v>
      </c>
      <c r="I22" s="188" t="s">
        <v>326</v>
      </c>
      <c r="J22" s="188"/>
      <c r="K22" s="188"/>
      <c r="L22" s="188">
        <f>M22*L24</f>
        <v>51.72471425</v>
      </c>
      <c r="M22" s="188">
        <f>M21*B25</f>
        <v>1.7897825</v>
      </c>
      <c r="N22" s="40" t="s">
        <v>326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5:28" ht="15"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ht="15">
      <c r="A24" s="250" t="s">
        <v>360</v>
      </c>
      <c r="B24" s="59">
        <f>(G24+L24)/44</f>
        <v>0.9295454545454546</v>
      </c>
      <c r="G24" s="59">
        <f>SUM(G4:G17)</f>
        <v>12</v>
      </c>
      <c r="H24" s="59">
        <f>SUM(H4:H17)</f>
        <v>480</v>
      </c>
      <c r="L24" s="59">
        <f>SUM(L4:L17)</f>
        <v>28.9</v>
      </c>
      <c r="M24" s="59">
        <f>SUM(M4:M17)</f>
        <v>1156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>
      <c r="A25" s="250" t="s">
        <v>481</v>
      </c>
      <c r="B25" s="38">
        <v>1.0175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3:20" ht="15">
      <c r="C26" s="40"/>
      <c r="D26" s="40" t="s">
        <v>83</v>
      </c>
      <c r="E26" s="43"/>
      <c r="F26" s="44"/>
      <c r="G26" s="44"/>
      <c r="H26" s="44"/>
      <c r="I26" s="44"/>
      <c r="J26" s="44"/>
      <c r="K26" s="44"/>
      <c r="L26" s="44"/>
      <c r="M26" s="44"/>
      <c r="N26" s="40"/>
      <c r="O26" s="40"/>
      <c r="P26" s="40"/>
      <c r="Q26" s="40"/>
      <c r="R26" s="40"/>
      <c r="S26" s="40"/>
      <c r="T26" s="40"/>
    </row>
    <row r="27" spans="3:20" ht="15">
      <c r="C27" s="40"/>
      <c r="D27" s="40"/>
      <c r="E27" s="44"/>
      <c r="F27" s="44"/>
      <c r="G27" s="44"/>
      <c r="H27" s="44"/>
      <c r="I27" s="44"/>
      <c r="J27" s="44"/>
      <c r="K27" s="44"/>
      <c r="L27" s="44"/>
      <c r="M27" s="44"/>
      <c r="N27" s="40"/>
      <c r="O27" s="40"/>
      <c r="P27" s="40"/>
      <c r="Q27" s="40"/>
      <c r="R27" s="40"/>
      <c r="S27" s="40"/>
      <c r="T27" s="40"/>
    </row>
    <row r="28" spans="3:20" ht="15">
      <c r="C28" s="40"/>
      <c r="D28" s="40"/>
      <c r="E28" s="45"/>
      <c r="F28" s="40"/>
      <c r="H28" s="40"/>
      <c r="I28" s="40"/>
      <c r="J28" s="40"/>
      <c r="K28" s="40"/>
      <c r="M28" s="40"/>
      <c r="N28" s="40"/>
      <c r="O28" s="40"/>
      <c r="P28" s="40"/>
      <c r="Q28" s="40"/>
      <c r="R28" s="40"/>
      <c r="S28" s="40"/>
      <c r="T28" s="40"/>
    </row>
    <row r="29" spans="3:20" ht="15">
      <c r="C29" s="40"/>
      <c r="D29" s="40"/>
      <c r="E29" s="77">
        <v>10</v>
      </c>
      <c r="F29" s="46" t="s">
        <v>96</v>
      </c>
      <c r="G29" s="46"/>
      <c r="H29" s="40"/>
      <c r="I29" s="40" t="s">
        <v>97</v>
      </c>
      <c r="J29" s="40"/>
      <c r="K29" s="40"/>
      <c r="M29" s="40"/>
      <c r="N29" s="40" t="s">
        <v>98</v>
      </c>
      <c r="O29" s="40"/>
      <c r="P29" s="40"/>
      <c r="Q29" s="40"/>
      <c r="R29" s="40"/>
      <c r="S29" s="40"/>
      <c r="T29" s="40"/>
    </row>
    <row r="30" spans="3:20" ht="15">
      <c r="C30" s="40"/>
      <c r="D30" s="40"/>
      <c r="E30" s="77">
        <v>14</v>
      </c>
      <c r="F30" s="47" t="s">
        <v>99</v>
      </c>
      <c r="G30" s="47"/>
      <c r="H30" s="40"/>
      <c r="I30" s="40"/>
      <c r="J30" s="40"/>
      <c r="K30" s="40"/>
      <c r="M30" s="40"/>
      <c r="N30" s="40"/>
      <c r="O30" s="40"/>
      <c r="P30" s="40"/>
      <c r="Q30" s="40"/>
      <c r="R30" s="40"/>
      <c r="S30" s="40"/>
      <c r="T30" s="40"/>
    </row>
    <row r="31" spans="3:20" ht="15">
      <c r="C31" s="40"/>
      <c r="D31" s="40"/>
      <c r="E31" s="77">
        <v>17</v>
      </c>
      <c r="F31" s="47" t="s">
        <v>100</v>
      </c>
      <c r="G31" s="47"/>
      <c r="H31" s="40"/>
      <c r="I31" s="40"/>
      <c r="J31" s="40"/>
      <c r="K31" s="40"/>
      <c r="M31" s="40"/>
      <c r="N31" s="40"/>
      <c r="O31" s="40"/>
      <c r="P31" s="40"/>
      <c r="Q31" s="40"/>
      <c r="R31" s="40"/>
      <c r="S31" s="40"/>
      <c r="T31" s="40"/>
    </row>
    <row r="32" spans="3:20" ht="15">
      <c r="C32" s="40"/>
      <c r="D32" s="40"/>
      <c r="E32" s="77">
        <v>16</v>
      </c>
      <c r="F32" s="46" t="s">
        <v>101</v>
      </c>
      <c r="G32" s="46"/>
      <c r="H32" s="40"/>
      <c r="I32" s="40"/>
      <c r="J32" s="40"/>
      <c r="K32" s="40"/>
      <c r="M32" s="40"/>
      <c r="N32" s="40"/>
      <c r="O32" s="40"/>
      <c r="P32" s="40"/>
      <c r="Q32" s="40"/>
      <c r="R32" s="40"/>
      <c r="S32" s="40"/>
      <c r="T32" s="40"/>
    </row>
    <row r="33" spans="3:20" ht="15">
      <c r="C33" s="40"/>
      <c r="D33" s="40"/>
      <c r="E33" s="77">
        <v>2</v>
      </c>
      <c r="F33" s="46" t="s">
        <v>102</v>
      </c>
      <c r="G33" s="46"/>
      <c r="H33" s="40"/>
      <c r="I33" s="40"/>
      <c r="J33" s="40"/>
      <c r="K33" s="40"/>
      <c r="M33" s="40"/>
      <c r="N33" s="40"/>
      <c r="O33" s="40"/>
      <c r="P33" s="40"/>
      <c r="Q33" s="40"/>
      <c r="R33" s="40"/>
      <c r="S33" s="40"/>
      <c r="T33" s="40"/>
    </row>
    <row r="34" spans="3:20" ht="15">
      <c r="C34" s="40"/>
      <c r="D34" s="40"/>
      <c r="E34" s="77"/>
      <c r="F34" s="46"/>
      <c r="G34" s="46"/>
      <c r="H34" s="40"/>
      <c r="I34" s="40"/>
      <c r="J34" s="40"/>
      <c r="K34" s="40"/>
      <c r="M34" s="40"/>
      <c r="N34" s="40"/>
      <c r="O34" s="40"/>
      <c r="P34" s="40"/>
      <c r="Q34" s="40"/>
      <c r="R34" s="40"/>
      <c r="S34" s="40"/>
      <c r="T34" s="40"/>
    </row>
    <row r="35" spans="3:20" ht="15">
      <c r="C35" s="40"/>
      <c r="D35" s="40"/>
      <c r="E35" s="77">
        <v>3</v>
      </c>
      <c r="F35" s="46" t="s">
        <v>103</v>
      </c>
      <c r="G35" s="46"/>
      <c r="H35" s="40"/>
      <c r="I35" s="40"/>
      <c r="J35" s="40"/>
      <c r="K35" s="40"/>
      <c r="M35" s="40"/>
      <c r="N35" s="40"/>
      <c r="O35" s="40"/>
      <c r="P35" s="40"/>
      <c r="Q35" s="40"/>
      <c r="R35" s="40"/>
      <c r="S35" s="40"/>
      <c r="T35" s="40"/>
    </row>
    <row r="36" spans="3:20" ht="15">
      <c r="C36" s="40"/>
      <c r="D36" s="40"/>
      <c r="E36" s="77">
        <v>3</v>
      </c>
      <c r="F36" s="47" t="s">
        <v>104</v>
      </c>
      <c r="G36" s="47"/>
      <c r="H36" s="40"/>
      <c r="I36" s="40"/>
      <c r="J36" s="40"/>
      <c r="K36" s="40"/>
      <c r="M36" s="40"/>
      <c r="N36" s="40"/>
      <c r="O36" s="40"/>
      <c r="P36" s="40"/>
      <c r="Q36" s="40"/>
      <c r="R36" s="40"/>
      <c r="S36" s="40"/>
      <c r="T36" s="40"/>
    </row>
    <row r="37" spans="3:20" ht="15">
      <c r="C37" s="40"/>
      <c r="D37" s="40"/>
      <c r="E37" s="77">
        <v>5</v>
      </c>
      <c r="F37" s="46" t="s">
        <v>105</v>
      </c>
      <c r="G37" s="46"/>
      <c r="H37" s="40"/>
      <c r="I37" s="40"/>
      <c r="J37" s="40"/>
      <c r="K37" s="40"/>
      <c r="M37" s="40"/>
      <c r="N37" s="40"/>
      <c r="O37" s="40"/>
      <c r="P37" s="40"/>
      <c r="Q37" s="40"/>
      <c r="R37" s="40"/>
      <c r="S37" s="40"/>
      <c r="T37" s="40"/>
    </row>
    <row r="38" spans="3:20" ht="15">
      <c r="C38" s="40"/>
      <c r="D38" s="40"/>
      <c r="E38" s="77">
        <v>6</v>
      </c>
      <c r="F38" s="46" t="s">
        <v>106</v>
      </c>
      <c r="G38" s="46"/>
      <c r="H38" s="40"/>
      <c r="I38" s="40"/>
      <c r="J38" s="40"/>
      <c r="K38" s="40"/>
      <c r="M38" s="40"/>
      <c r="N38" s="40"/>
      <c r="O38" s="40"/>
      <c r="P38" s="40"/>
      <c r="Q38" s="40"/>
      <c r="R38" s="40"/>
      <c r="S38" s="40"/>
      <c r="T38" s="40"/>
    </row>
    <row r="39" spans="3:20" ht="15">
      <c r="C39" s="40"/>
      <c r="D39" s="40"/>
      <c r="E39" s="77"/>
      <c r="F39" s="46"/>
      <c r="G39" s="46"/>
      <c r="H39" s="40"/>
      <c r="I39" s="40"/>
      <c r="J39" s="40"/>
      <c r="K39" s="40"/>
      <c r="M39" s="40"/>
      <c r="N39" s="40"/>
      <c r="O39" s="40"/>
      <c r="P39" s="40"/>
      <c r="Q39" s="40"/>
      <c r="R39" s="40"/>
      <c r="S39" s="40"/>
      <c r="T39" s="40"/>
    </row>
    <row r="40" spans="3:20" ht="15">
      <c r="C40" s="40"/>
      <c r="D40" s="40"/>
      <c r="E40" s="77">
        <v>17</v>
      </c>
      <c r="F40" s="46" t="s">
        <v>107</v>
      </c>
      <c r="G40" s="46"/>
      <c r="H40" s="40"/>
      <c r="I40" s="40"/>
      <c r="J40" s="40"/>
      <c r="K40" s="40"/>
      <c r="M40" s="40"/>
      <c r="N40" s="40"/>
      <c r="O40" s="40"/>
      <c r="P40" s="40"/>
      <c r="Q40" s="40"/>
      <c r="R40" s="40"/>
      <c r="S40" s="40"/>
      <c r="T40" s="40"/>
    </row>
    <row r="41" spans="3:20" ht="15">
      <c r="C41" s="40"/>
      <c r="D41" s="63"/>
      <c r="E41" s="77">
        <v>2</v>
      </c>
      <c r="F41" s="46" t="s">
        <v>108</v>
      </c>
      <c r="G41" s="46"/>
      <c r="H41" s="40"/>
      <c r="I41" s="40"/>
      <c r="J41" s="40"/>
      <c r="K41" s="40"/>
      <c r="M41" s="40"/>
      <c r="N41" s="40"/>
      <c r="O41" s="40"/>
      <c r="P41" s="40"/>
      <c r="Q41" s="40"/>
      <c r="R41" s="40"/>
      <c r="S41" s="40"/>
      <c r="T41" s="40"/>
    </row>
    <row r="42" spans="3:20" ht="15">
      <c r="C42" s="40"/>
      <c r="D42" s="40"/>
      <c r="E42" s="77">
        <v>1</v>
      </c>
      <c r="F42" s="46" t="s">
        <v>109</v>
      </c>
      <c r="G42" s="46"/>
      <c r="H42" s="40"/>
      <c r="I42" s="40"/>
      <c r="J42" s="40"/>
      <c r="K42" s="40"/>
      <c r="M42" s="40"/>
      <c r="N42" s="40"/>
      <c r="O42" s="40"/>
      <c r="P42" s="40"/>
      <c r="Q42" s="40"/>
      <c r="R42" s="40"/>
      <c r="S42" s="40"/>
      <c r="T42" s="40"/>
    </row>
    <row r="43" spans="3:20" ht="15">
      <c r="C43" s="40"/>
      <c r="D43" s="40"/>
      <c r="E43" s="77">
        <v>1</v>
      </c>
      <c r="F43" s="46" t="s">
        <v>110</v>
      </c>
      <c r="G43" s="46"/>
      <c r="H43" s="40"/>
      <c r="I43" s="40"/>
      <c r="J43" s="40"/>
      <c r="K43" s="40"/>
      <c r="M43" s="40"/>
      <c r="N43" s="40"/>
      <c r="O43" s="40"/>
      <c r="P43" s="40"/>
      <c r="Q43" s="40"/>
      <c r="R43" s="40"/>
      <c r="S43" s="40"/>
      <c r="T43" s="40"/>
    </row>
    <row r="44" spans="3:20" ht="15">
      <c r="C44" s="40"/>
      <c r="D44" s="40"/>
      <c r="E44" s="77">
        <v>1</v>
      </c>
      <c r="F44" s="46" t="s">
        <v>111</v>
      </c>
      <c r="G44" s="46"/>
      <c r="H44" s="40"/>
      <c r="I44" s="40"/>
      <c r="J44" s="40"/>
      <c r="K44" s="40"/>
      <c r="M44" s="40"/>
      <c r="N44" s="40"/>
      <c r="O44" s="40"/>
      <c r="P44" s="40"/>
      <c r="Q44" s="40"/>
      <c r="R44" s="40"/>
      <c r="S44" s="40"/>
      <c r="T44" s="40"/>
    </row>
    <row r="45" spans="3:20" ht="15">
      <c r="C45" s="40"/>
      <c r="D45" s="40"/>
      <c r="E45" s="78"/>
      <c r="F45" s="46" t="s">
        <v>112</v>
      </c>
      <c r="G45" s="46"/>
      <c r="H45" s="40"/>
      <c r="I45" s="40"/>
      <c r="J45" s="40"/>
      <c r="K45" s="40"/>
      <c r="M45" s="40"/>
      <c r="N45" s="40"/>
      <c r="O45" s="40"/>
      <c r="P45" s="40"/>
      <c r="Q45" s="40"/>
      <c r="R45" s="40"/>
      <c r="S45" s="40"/>
      <c r="T45" s="40"/>
    </row>
    <row r="46" spans="3:20" ht="15">
      <c r="C46" s="40"/>
      <c r="D46" s="40"/>
      <c r="E46" s="325">
        <f>SUM(E29:E45)</f>
        <v>98</v>
      </c>
      <c r="F46" s="46" t="s">
        <v>163</v>
      </c>
      <c r="H46" s="40"/>
      <c r="I46" s="40"/>
      <c r="J46" s="40"/>
      <c r="K46" s="40"/>
      <c r="M46" s="40"/>
      <c r="N46" s="40"/>
      <c r="O46" s="40"/>
      <c r="P46" s="40"/>
      <c r="Q46" s="40"/>
      <c r="R46" s="40"/>
      <c r="S46" s="40"/>
      <c r="T46" s="40"/>
    </row>
    <row r="47" spans="3:20" ht="15">
      <c r="C47" s="40"/>
      <c r="D47" s="40"/>
      <c r="E47" s="40"/>
      <c r="F47" s="40"/>
      <c r="H47" s="40"/>
      <c r="I47" s="40"/>
      <c r="J47" s="40"/>
      <c r="K47" s="40"/>
      <c r="M47" s="40"/>
      <c r="N47" s="40"/>
      <c r="O47" s="40"/>
      <c r="P47" s="40"/>
      <c r="Q47" s="40"/>
      <c r="R47" s="40"/>
      <c r="S47" s="40"/>
      <c r="T47" s="40"/>
    </row>
    <row r="48" spans="3:20" ht="15">
      <c r="C48" s="40"/>
      <c r="D48" s="40"/>
      <c r="E48" s="40"/>
      <c r="F48" s="40"/>
      <c r="H48" s="40"/>
      <c r="I48" s="40"/>
      <c r="J48" s="40"/>
      <c r="K48" s="40"/>
      <c r="M48" s="40"/>
      <c r="N48" s="40"/>
      <c r="O48" s="40"/>
      <c r="P48" s="40"/>
      <c r="Q48" s="40"/>
      <c r="R48" s="40"/>
      <c r="S48" s="40"/>
      <c r="T48" s="40"/>
    </row>
    <row r="49" spans="3:20" ht="15">
      <c r="C49" s="40"/>
      <c r="D49" s="40"/>
      <c r="E49" s="40"/>
      <c r="F49" s="40"/>
      <c r="H49" s="40"/>
      <c r="I49" s="40"/>
      <c r="J49" s="40"/>
      <c r="K49" s="40"/>
      <c r="M49" s="40"/>
      <c r="N49" s="40"/>
      <c r="O49" s="40"/>
      <c r="P49" s="40"/>
      <c r="Q49" s="40"/>
      <c r="R49" s="40"/>
      <c r="S49" s="40"/>
      <c r="T49" s="40"/>
    </row>
    <row r="50" spans="3:20" ht="15">
      <c r="C50" s="40"/>
      <c r="D50" s="40"/>
      <c r="E50" s="40"/>
      <c r="F50" s="40"/>
      <c r="H50" s="40"/>
      <c r="I50" s="40"/>
      <c r="J50" s="40"/>
      <c r="K50" s="40"/>
      <c r="M50" s="40"/>
      <c r="N50" s="40"/>
      <c r="O50" s="40"/>
      <c r="P50" s="40"/>
      <c r="Q50" s="40"/>
      <c r="R50" s="40"/>
      <c r="S50" s="40"/>
      <c r="T50" s="40"/>
    </row>
    <row r="51" spans="3:20" ht="15">
      <c r="C51" s="40"/>
      <c r="D51" s="40"/>
      <c r="E51" s="40"/>
      <c r="F51" s="40"/>
      <c r="H51" s="40"/>
      <c r="I51" s="40"/>
      <c r="J51" s="40"/>
      <c r="K51" s="40"/>
      <c r="M51" s="40"/>
      <c r="N51" s="40"/>
      <c r="O51" s="40"/>
      <c r="P51" s="40"/>
      <c r="Q51" s="40"/>
      <c r="R51" s="40"/>
      <c r="S51" s="40"/>
      <c r="T51" s="40"/>
    </row>
    <row r="52" spans="3:20" ht="15">
      <c r="C52" s="40"/>
      <c r="D52" s="40"/>
      <c r="E52" s="40"/>
      <c r="F52" s="40"/>
      <c r="H52" s="40"/>
      <c r="I52" s="40"/>
      <c r="J52" s="40"/>
      <c r="K52" s="40"/>
      <c r="M52" s="40"/>
      <c r="N52" s="40"/>
      <c r="O52" s="40"/>
      <c r="P52" s="40"/>
      <c r="Q52" s="40"/>
      <c r="R52" s="40"/>
      <c r="S52" s="40"/>
      <c r="T52" s="40"/>
    </row>
    <row r="53" spans="3:20" ht="15">
      <c r="C53" s="40"/>
      <c r="D53" s="40"/>
      <c r="E53" s="40"/>
      <c r="F53" s="40"/>
      <c r="H53" s="40"/>
      <c r="I53" s="40"/>
      <c r="J53" s="40"/>
      <c r="K53" s="40"/>
      <c r="M53" s="40"/>
      <c r="N53" s="40"/>
      <c r="O53" s="40"/>
      <c r="P53" s="40"/>
      <c r="Q53" s="40"/>
      <c r="R53" s="40"/>
      <c r="S53" s="40"/>
      <c r="T53" s="40"/>
    </row>
    <row r="54" spans="3:20" ht="15">
      <c r="C54" s="40"/>
      <c r="D54" s="40"/>
      <c r="E54" s="45"/>
      <c r="F54" s="40"/>
      <c r="H54" s="40"/>
      <c r="I54" s="40"/>
      <c r="J54" s="40"/>
      <c r="K54" s="40"/>
      <c r="M54" s="40"/>
      <c r="N54" s="40"/>
      <c r="O54" s="40"/>
      <c r="P54" s="40"/>
      <c r="Q54" s="40"/>
      <c r="R54" s="40"/>
      <c r="S54" s="40"/>
      <c r="T54" s="40"/>
    </row>
    <row r="55" spans="3:20" ht="15">
      <c r="C55" s="40"/>
      <c r="D55" s="40"/>
      <c r="E55" s="45"/>
      <c r="F55" s="40"/>
      <c r="H55" s="40"/>
      <c r="I55" s="40"/>
      <c r="J55" s="40"/>
      <c r="K55" s="40"/>
      <c r="M55" s="40"/>
      <c r="N55" s="40"/>
      <c r="O55" s="40"/>
      <c r="P55" s="40"/>
      <c r="Q55" s="40"/>
      <c r="R55" s="40"/>
      <c r="S55" s="40"/>
      <c r="T55" s="40"/>
    </row>
    <row r="56" spans="3:20" ht="15">
      <c r="C56" s="40"/>
      <c r="D56" s="40"/>
      <c r="E56" s="40"/>
      <c r="F56" s="40"/>
      <c r="H56" s="40"/>
      <c r="I56" s="40"/>
      <c r="J56" s="40"/>
      <c r="K56" s="40"/>
      <c r="M56" s="40"/>
      <c r="N56" s="40"/>
      <c r="O56" s="40"/>
      <c r="P56" s="40"/>
      <c r="Q56" s="40"/>
      <c r="R56" s="40"/>
      <c r="S56" s="40"/>
      <c r="T56" s="40"/>
    </row>
    <row r="57" spans="3:20" ht="15">
      <c r="C57" s="40"/>
      <c r="D57" s="40"/>
      <c r="E57" s="40"/>
      <c r="F57" s="40"/>
      <c r="H57" s="40"/>
      <c r="I57" s="40"/>
      <c r="J57" s="40"/>
      <c r="K57" s="40"/>
      <c r="M57" s="40"/>
      <c r="N57" s="40"/>
      <c r="O57" s="40"/>
      <c r="P57" s="40"/>
      <c r="Q57" s="40"/>
      <c r="R57" s="40"/>
      <c r="S57" s="40"/>
      <c r="T57" s="40"/>
    </row>
    <row r="58" spans="3:20" ht="15">
      <c r="C58" s="40"/>
      <c r="D58" s="40"/>
      <c r="E58" s="40"/>
      <c r="F58" s="40"/>
      <c r="H58" s="40"/>
      <c r="I58" s="40"/>
      <c r="J58" s="40"/>
      <c r="K58" s="40"/>
      <c r="M58" s="40"/>
      <c r="N58" s="40"/>
      <c r="O58" s="40"/>
      <c r="P58" s="40"/>
      <c r="Q58" s="40"/>
      <c r="R58" s="40"/>
      <c r="S58" s="40"/>
      <c r="T58" s="40"/>
    </row>
    <row r="59" spans="3:20" ht="15">
      <c r="C59" s="40"/>
      <c r="D59" s="40"/>
      <c r="E59" s="40"/>
      <c r="F59" s="40"/>
      <c r="H59" s="40"/>
      <c r="I59" s="40"/>
      <c r="J59" s="40"/>
      <c r="K59" s="40"/>
      <c r="M59" s="40"/>
      <c r="N59" s="40"/>
      <c r="O59" s="40"/>
      <c r="P59" s="40"/>
      <c r="Q59" s="40"/>
      <c r="R59" s="40"/>
      <c r="S59" s="40"/>
      <c r="T59" s="40"/>
    </row>
    <row r="60" spans="3:20" ht="15">
      <c r="C60" s="40"/>
      <c r="D60" s="40"/>
      <c r="E60" s="40"/>
      <c r="F60" s="40"/>
      <c r="H60" s="40"/>
      <c r="I60" s="40"/>
      <c r="J60" s="40"/>
      <c r="K60" s="40"/>
      <c r="M60" s="40"/>
      <c r="N60" s="40"/>
      <c r="O60" s="40"/>
      <c r="P60" s="40"/>
      <c r="Q60" s="40"/>
      <c r="R60" s="40"/>
      <c r="S60" s="40"/>
      <c r="T60" s="40"/>
    </row>
    <row r="61" spans="3:20" ht="15">
      <c r="C61" s="40"/>
      <c r="D61" s="40"/>
      <c r="E61" s="40"/>
      <c r="F61" s="40"/>
      <c r="H61" s="40"/>
      <c r="I61" s="40"/>
      <c r="J61" s="40"/>
      <c r="K61" s="40"/>
      <c r="M61" s="40"/>
      <c r="N61" s="40"/>
      <c r="O61" s="40"/>
      <c r="P61" s="40"/>
      <c r="Q61" s="40"/>
      <c r="R61" s="40"/>
      <c r="S61" s="40"/>
      <c r="T61" s="40"/>
    </row>
  </sheetData>
  <mergeCells count="2">
    <mergeCell ref="A1:N1"/>
    <mergeCell ref="C2:N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 topLeftCell="A1">
      <selection activeCell="I14" sqref="I14"/>
    </sheetView>
  </sheetViews>
  <sheetFormatPr defaultColWidth="9.140625" defaultRowHeight="15"/>
  <cols>
    <col min="1" max="1" width="33.140625" style="40" customWidth="1"/>
    <col min="2" max="2" width="9.140625" style="40" customWidth="1"/>
    <col min="3" max="3" width="9.28125" style="40" bestFit="1" customWidth="1"/>
    <col min="4" max="4" width="13.57421875" style="40" customWidth="1"/>
    <col min="5" max="5" width="10.00390625" style="40" bestFit="1" customWidth="1"/>
    <col min="6" max="6" width="9.28125" style="40" bestFit="1" customWidth="1"/>
    <col min="7" max="7" width="12.421875" style="40" customWidth="1"/>
    <col min="8" max="8" width="12.57421875" style="40" customWidth="1"/>
    <col min="9" max="9" width="11.57421875" style="40" customWidth="1"/>
    <col min="10" max="10" width="11.28125" style="40" customWidth="1"/>
    <col min="11" max="12" width="9.140625" style="40" customWidth="1"/>
    <col min="13" max="13" width="12.421875" style="40" customWidth="1"/>
    <col min="14" max="14" width="9.140625" style="40" customWidth="1"/>
    <col min="15" max="15" width="12.8515625" style="40" customWidth="1"/>
    <col min="16" max="16384" width="9.140625" style="40" customWidth="1"/>
  </cols>
  <sheetData>
    <row r="1" spans="1:16" ht="15">
      <c r="A1" s="194" t="s">
        <v>307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44"/>
      <c r="P1" s="44"/>
    </row>
    <row r="2" spans="1:16" ht="15">
      <c r="A2" s="196"/>
      <c r="B2" s="254" t="s">
        <v>302</v>
      </c>
      <c r="C2" s="197" t="s">
        <v>308</v>
      </c>
      <c r="D2" s="197" t="s">
        <v>309</v>
      </c>
      <c r="E2" s="197" t="s">
        <v>310</v>
      </c>
      <c r="F2" s="197" t="s">
        <v>311</v>
      </c>
      <c r="G2" s="197" t="s">
        <v>312</v>
      </c>
      <c r="H2" s="197" t="s">
        <v>313</v>
      </c>
      <c r="I2" s="197" t="s">
        <v>314</v>
      </c>
      <c r="J2" s="197" t="s">
        <v>315</v>
      </c>
      <c r="K2" s="198" t="s">
        <v>316</v>
      </c>
      <c r="L2" s="197" t="s">
        <v>317</v>
      </c>
      <c r="M2" s="197" t="s">
        <v>163</v>
      </c>
      <c r="N2" s="196"/>
      <c r="O2" s="199"/>
      <c r="P2" s="199"/>
    </row>
    <row r="3" spans="1:16" ht="15">
      <c r="A3" s="200" t="s">
        <v>318</v>
      </c>
      <c r="B3" s="201"/>
      <c r="C3" s="202">
        <v>1.7999999999999998</v>
      </c>
      <c r="D3" s="202">
        <v>14.4</v>
      </c>
      <c r="E3" s="202">
        <v>8.4</v>
      </c>
      <c r="F3" s="202">
        <v>4</v>
      </c>
      <c r="G3" s="202">
        <v>0</v>
      </c>
      <c r="H3" s="202">
        <v>28.6</v>
      </c>
      <c r="I3" s="203">
        <v>92480</v>
      </c>
      <c r="J3" s="203">
        <v>52500</v>
      </c>
      <c r="K3" s="203">
        <v>0</v>
      </c>
      <c r="L3" s="203">
        <v>0</v>
      </c>
      <c r="M3" s="203">
        <v>210221</v>
      </c>
      <c r="N3" s="204"/>
      <c r="O3" s="205"/>
      <c r="P3" s="205"/>
    </row>
    <row r="4" spans="1:16" ht="15">
      <c r="A4" s="200" t="s">
        <v>39</v>
      </c>
      <c r="B4" s="201"/>
      <c r="C4" s="206">
        <v>1.5999999999999999</v>
      </c>
      <c r="D4" s="206">
        <v>17</v>
      </c>
      <c r="E4" s="206">
        <v>13.2</v>
      </c>
      <c r="F4" s="206">
        <v>6</v>
      </c>
      <c r="G4" s="206">
        <v>0</v>
      </c>
      <c r="H4" s="206">
        <v>37.8</v>
      </c>
      <c r="I4" s="207">
        <v>119160</v>
      </c>
      <c r="J4" s="207">
        <v>77000</v>
      </c>
      <c r="K4" s="207">
        <v>0</v>
      </c>
      <c r="L4" s="207">
        <v>0</v>
      </c>
      <c r="M4" s="207">
        <v>284432</v>
      </c>
      <c r="N4" s="208"/>
      <c r="O4" s="205"/>
      <c r="P4" s="205"/>
    </row>
    <row r="5" spans="1:16" ht="15">
      <c r="A5" s="209" t="s">
        <v>319</v>
      </c>
      <c r="B5" s="201"/>
      <c r="C5" s="206">
        <v>1.4</v>
      </c>
      <c r="D5" s="206">
        <v>10</v>
      </c>
      <c r="E5" s="206">
        <v>8.2</v>
      </c>
      <c r="F5" s="206">
        <v>6</v>
      </c>
      <c r="G5" s="206">
        <v>0</v>
      </c>
      <c r="H5" s="206">
        <v>25.6</v>
      </c>
      <c r="I5" s="207">
        <v>80560</v>
      </c>
      <c r="J5" s="207">
        <v>12000</v>
      </c>
      <c r="K5" s="207">
        <v>0</v>
      </c>
      <c r="L5" s="207"/>
      <c r="M5" s="207">
        <v>134212</v>
      </c>
      <c r="N5" s="208"/>
      <c r="O5" s="205"/>
      <c r="P5" s="205"/>
    </row>
    <row r="6" spans="1:16" ht="15">
      <c r="A6" s="209" t="s">
        <v>320</v>
      </c>
      <c r="B6" s="201"/>
      <c r="C6" s="206">
        <v>6.2</v>
      </c>
      <c r="D6" s="206">
        <v>29</v>
      </c>
      <c r="E6" s="206">
        <v>34</v>
      </c>
      <c r="F6" s="206">
        <v>16.4</v>
      </c>
      <c r="G6" s="206">
        <v>0</v>
      </c>
      <c r="H6" s="206">
        <v>85.6</v>
      </c>
      <c r="I6" s="207">
        <v>267800</v>
      </c>
      <c r="J6" s="207">
        <v>111000</v>
      </c>
      <c r="K6" s="207">
        <v>0</v>
      </c>
      <c r="L6" s="207">
        <v>0</v>
      </c>
      <c r="M6" s="207">
        <v>549260</v>
      </c>
      <c r="N6" s="208"/>
      <c r="O6" s="205"/>
      <c r="P6" s="205"/>
    </row>
    <row r="7" spans="1:16" ht="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  <c r="O7" s="185"/>
      <c r="P7" s="185"/>
    </row>
    <row r="8" spans="1:16" s="33" customFormat="1" ht="15">
      <c r="A8" s="212" t="s">
        <v>321</v>
      </c>
      <c r="B8" s="253">
        <f>(C8+D8+E8+F8)/44</f>
        <v>4.036363636363636</v>
      </c>
      <c r="C8" s="213">
        <f aca="true" t="shared" si="0" ref="C8:M8">SUM(C3:C7)</f>
        <v>11</v>
      </c>
      <c r="D8" s="213">
        <f t="shared" si="0"/>
        <v>70.4</v>
      </c>
      <c r="E8" s="213">
        <f t="shared" si="0"/>
        <v>63.8</v>
      </c>
      <c r="F8" s="213">
        <f t="shared" si="0"/>
        <v>32.4</v>
      </c>
      <c r="G8" s="214">
        <f t="shared" si="0"/>
        <v>0</v>
      </c>
      <c r="H8" s="214">
        <f t="shared" si="0"/>
        <v>177.6</v>
      </c>
      <c r="I8" s="215">
        <f t="shared" si="0"/>
        <v>560000</v>
      </c>
      <c r="J8" s="345">
        <f t="shared" si="0"/>
        <v>252500</v>
      </c>
      <c r="K8" s="215">
        <f t="shared" si="0"/>
        <v>0</v>
      </c>
      <c r="L8" s="215">
        <f t="shared" si="0"/>
        <v>0</v>
      </c>
      <c r="M8" s="215">
        <f t="shared" si="0"/>
        <v>1178125</v>
      </c>
      <c r="N8" s="216"/>
      <c r="O8" s="185"/>
      <c r="P8" s="185"/>
    </row>
    <row r="9" spans="3:14" ht="15">
      <c r="C9" s="77"/>
      <c r="D9" s="77"/>
      <c r="E9" s="77"/>
      <c r="F9" s="77"/>
      <c r="G9" s="77"/>
      <c r="H9" s="77"/>
      <c r="I9" s="217"/>
      <c r="J9" s="218"/>
      <c r="K9" s="218"/>
      <c r="L9" s="219"/>
      <c r="M9" s="219"/>
      <c r="N9" s="77"/>
    </row>
    <row r="10" spans="1:13" ht="15">
      <c r="A10" s="220"/>
      <c r="B10" s="220"/>
      <c r="C10" s="221"/>
      <c r="D10" s="221"/>
      <c r="E10" s="221"/>
      <c r="F10" s="221"/>
      <c r="G10" s="221"/>
      <c r="H10" s="221"/>
      <c r="I10" s="218"/>
      <c r="M10" s="219"/>
    </row>
    <row r="11" spans="1:9" ht="15">
      <c r="A11" s="250" t="s">
        <v>475</v>
      </c>
      <c r="B11" s="41"/>
      <c r="C11" s="341">
        <v>53.301</v>
      </c>
      <c r="D11" s="318">
        <v>220.31</v>
      </c>
      <c r="E11" s="318">
        <v>126.755</v>
      </c>
      <c r="F11" s="342">
        <v>67.879</v>
      </c>
      <c r="G11" s="318"/>
      <c r="H11" s="318"/>
      <c r="I11" s="320">
        <f>SUM(C11:H11)</f>
        <v>468.245</v>
      </c>
    </row>
    <row r="12" spans="1:9" s="63" customFormat="1" ht="15">
      <c r="A12" s="250" t="s">
        <v>476</v>
      </c>
      <c r="B12" s="44"/>
      <c r="C12" s="343">
        <v>4.846</v>
      </c>
      <c r="D12" s="342">
        <v>3.129</v>
      </c>
      <c r="E12" s="342">
        <v>1.987</v>
      </c>
      <c r="F12" s="342">
        <v>2.095</v>
      </c>
      <c r="G12" s="342"/>
      <c r="H12" s="342"/>
      <c r="I12" s="344"/>
    </row>
    <row r="13" spans="1:15" s="63" customFormat="1" ht="15">
      <c r="A13" s="224"/>
      <c r="B13" s="44"/>
      <c r="C13" s="225"/>
      <c r="D13" s="225"/>
      <c r="E13" s="225"/>
      <c r="F13" s="225"/>
      <c r="G13" s="225"/>
      <c r="H13" s="225"/>
      <c r="I13" s="226"/>
      <c r="J13" s="227"/>
      <c r="K13" s="227"/>
      <c r="L13" s="227"/>
      <c r="M13" s="227"/>
      <c r="N13" s="227"/>
      <c r="O13" s="228"/>
    </row>
    <row r="14" spans="1:9" ht="15">
      <c r="A14" s="250" t="s">
        <v>477</v>
      </c>
      <c r="B14" s="41"/>
      <c r="C14" s="341">
        <f>C15*C8</f>
        <v>54.238855</v>
      </c>
      <c r="D14" s="341">
        <f aca="true" t="shared" si="1" ref="D14:F14">D15*D8</f>
        <v>224.13652800000003</v>
      </c>
      <c r="E14" s="341">
        <f t="shared" si="1"/>
        <v>128.98908550000002</v>
      </c>
      <c r="F14" s="341">
        <f t="shared" si="1"/>
        <v>69.06586500000002</v>
      </c>
      <c r="G14" s="318"/>
      <c r="H14" s="318"/>
      <c r="I14" s="358">
        <f>SUM(C14:H14)</f>
        <v>476.4303335000001</v>
      </c>
    </row>
    <row r="15" spans="1:9" s="63" customFormat="1" ht="15">
      <c r="A15" s="250" t="s">
        <v>478</v>
      </c>
      <c r="B15" s="44">
        <v>1.0175</v>
      </c>
      <c r="C15" s="343">
        <f>C12*B$15</f>
        <v>4.930805</v>
      </c>
      <c r="D15" s="343">
        <f>D12*B$15</f>
        <v>3.1837575</v>
      </c>
      <c r="E15" s="343">
        <f>E12*B$15</f>
        <v>2.0217725000000004</v>
      </c>
      <c r="F15" s="343">
        <f>F12*B$15</f>
        <v>2.1316625000000005</v>
      </c>
      <c r="G15" s="342"/>
      <c r="H15" s="342"/>
      <c r="I15" s="344"/>
    </row>
    <row r="16" s="63" customFormat="1" ht="15">
      <c r="B16" s="63" t="s">
        <v>450</v>
      </c>
    </row>
    <row r="17" spans="1:15" s="63" customFormat="1" ht="15">
      <c r="A17" s="224"/>
      <c r="B17" s="229"/>
      <c r="C17" s="226"/>
      <c r="D17" s="226"/>
      <c r="E17" s="226"/>
      <c r="F17" s="226" t="s">
        <v>306</v>
      </c>
      <c r="G17" s="226"/>
      <c r="H17" s="226"/>
      <c r="I17" s="346">
        <f>J8/1000</f>
        <v>252.5</v>
      </c>
      <c r="J17" s="226"/>
      <c r="K17" s="226"/>
      <c r="L17" s="227"/>
      <c r="M17" s="227"/>
      <c r="N17" s="227"/>
      <c r="O17" s="227"/>
    </row>
    <row r="18" s="63" customFormat="1" ht="15">
      <c r="O18" s="223"/>
    </row>
    <row r="19" spans="1:15" s="63" customFormat="1" ht="15">
      <c r="A19" s="224"/>
      <c r="B19" s="224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</row>
    <row r="20" spans="3:9" s="63" customFormat="1" ht="15">
      <c r="C20" s="229"/>
      <c r="H20" s="63" t="s">
        <v>305</v>
      </c>
      <c r="I20" s="347">
        <f>SUM(I11:I19)</f>
        <v>1197.1753335</v>
      </c>
    </row>
    <row r="21" spans="1:15" s="63" customFormat="1" ht="15">
      <c r="A21" s="224"/>
      <c r="O21" s="230"/>
    </row>
    <row r="22" spans="1:15" s="63" customFormat="1" ht="15">
      <c r="A22" s="224"/>
      <c r="B22" s="224"/>
      <c r="C22" s="229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8"/>
    </row>
    <row r="23" spans="5:8" s="63" customFormat="1" ht="15">
      <c r="E23" s="231"/>
      <c r="F23" s="231"/>
      <c r="G23" s="231"/>
      <c r="H23" s="231"/>
    </row>
    <row r="24" ht="15"/>
    <row r="25" ht="15"/>
    <row r="26" ht="15"/>
    <row r="27" ht="15"/>
    <row r="28" ht="15"/>
    <row r="31" spans="1:2" ht="15">
      <c r="A31" s="232"/>
      <c r="B31" s="233"/>
    </row>
    <row r="35" ht="15">
      <c r="H35" s="234"/>
    </row>
    <row r="36" spans="4:8" ht="15">
      <c r="D36" s="59"/>
      <c r="H36" s="234"/>
    </row>
    <row r="39" ht="15">
      <c r="H39" s="234"/>
    </row>
    <row r="42" spans="4:8" ht="15">
      <c r="D42" s="63"/>
      <c r="H42" s="234">
        <f>SUM(H35:H41)</f>
        <v>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0"/>
  <sheetViews>
    <sheetView workbookViewId="0" topLeftCell="A1">
      <selection activeCell="B23" sqref="B23"/>
    </sheetView>
  </sheetViews>
  <sheetFormatPr defaultColWidth="8.8515625" defaultRowHeight="15"/>
  <cols>
    <col min="1" max="1" width="33.7109375" style="40" bestFit="1" customWidth="1"/>
    <col min="2" max="2" width="8.8515625" style="40" customWidth="1"/>
    <col min="3" max="3" width="12.00390625" style="40" bestFit="1" customWidth="1"/>
    <col min="4" max="4" width="6.8515625" style="40" bestFit="1" customWidth="1"/>
    <col min="5" max="5" width="8.8515625" style="40" customWidth="1"/>
    <col min="6" max="6" width="10.00390625" style="40" bestFit="1" customWidth="1"/>
    <col min="7" max="7" width="9.00390625" style="40" bestFit="1" customWidth="1"/>
    <col min="8" max="8" width="8.57421875" style="40" bestFit="1" customWidth="1"/>
    <col min="9" max="9" width="9.57421875" style="40" bestFit="1" customWidth="1"/>
    <col min="10" max="10" width="9.7109375" style="40" bestFit="1" customWidth="1"/>
    <col min="11" max="11" width="10.7109375" style="40" bestFit="1" customWidth="1"/>
    <col min="12" max="12" width="11.7109375" style="40" bestFit="1" customWidth="1"/>
    <col min="13" max="16384" width="8.8515625" style="40" customWidth="1"/>
  </cols>
  <sheetData>
    <row r="1" spans="1:12" ht="23.25">
      <c r="A1" s="465" t="s">
        <v>75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</row>
    <row r="2" spans="1:12" ht="15">
      <c r="A2" s="8" t="s">
        <v>0</v>
      </c>
      <c r="B2" s="3"/>
      <c r="C2" s="470" t="s">
        <v>1</v>
      </c>
      <c r="D2" s="471"/>
      <c r="E2" s="471"/>
      <c r="F2" s="471"/>
      <c r="G2" s="471"/>
      <c r="H2" s="471"/>
      <c r="I2" s="471"/>
      <c r="J2" s="471"/>
      <c r="K2" s="471"/>
      <c r="L2" s="472"/>
    </row>
    <row r="3" spans="1:12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10" t="s">
        <v>12</v>
      </c>
    </row>
    <row r="4" spans="1:12" ht="15">
      <c r="A4" s="6" t="s">
        <v>77</v>
      </c>
      <c r="B4" s="2">
        <f>SUM(C4:L4)</f>
        <v>240</v>
      </c>
      <c r="C4" s="42"/>
      <c r="D4" s="42"/>
      <c r="E4" s="42"/>
      <c r="F4" s="42"/>
      <c r="G4" s="71" t="s">
        <v>38</v>
      </c>
      <c r="H4" s="71"/>
      <c r="I4" s="71"/>
      <c r="J4" s="71">
        <f>6*40</f>
        <v>240</v>
      </c>
      <c r="K4" s="71"/>
      <c r="L4" s="12"/>
    </row>
    <row r="5" spans="1:12" ht="15">
      <c r="A5" s="6" t="s">
        <v>78</v>
      </c>
      <c r="B5" s="18">
        <f>SUM(C5:L5)</f>
        <v>88</v>
      </c>
      <c r="C5" s="13"/>
      <c r="D5" s="42"/>
      <c r="E5" s="42"/>
      <c r="F5" s="42"/>
      <c r="G5" s="71">
        <v>8</v>
      </c>
      <c r="H5" s="71"/>
      <c r="I5" s="71"/>
      <c r="J5" s="71">
        <v>80</v>
      </c>
      <c r="K5" s="71"/>
      <c r="L5" s="12"/>
    </row>
    <row r="6" spans="1:125" s="72" customFormat="1" ht="15">
      <c r="A6" s="40" t="s">
        <v>143</v>
      </c>
      <c r="B6" s="18">
        <f aca="true" t="shared" si="0" ref="B6:B14">SUM(C6:L6)</f>
        <v>32</v>
      </c>
      <c r="C6" s="40"/>
      <c r="D6" s="40"/>
      <c r="E6" s="40"/>
      <c r="F6" s="40"/>
      <c r="G6" s="69">
        <v>16</v>
      </c>
      <c r="H6" s="69">
        <v>16</v>
      </c>
      <c r="I6" s="69"/>
      <c r="J6" s="69"/>
      <c r="K6" s="6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</row>
    <row r="7" spans="1:125" s="72" customFormat="1" ht="15">
      <c r="A7" s="40"/>
      <c r="B7" s="18">
        <f t="shared" si="0"/>
        <v>0</v>
      </c>
      <c r="C7" s="40"/>
      <c r="D7" s="40"/>
      <c r="E7" s="40"/>
      <c r="F7" s="40"/>
      <c r="G7" s="69"/>
      <c r="H7" s="69"/>
      <c r="I7" s="69"/>
      <c r="J7" s="69"/>
      <c r="K7" s="6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</row>
    <row r="8" spans="1:125" s="72" customFormat="1" ht="15">
      <c r="A8" s="40" t="s">
        <v>144</v>
      </c>
      <c r="B8" s="18">
        <f t="shared" si="0"/>
        <v>0</v>
      </c>
      <c r="C8" s="40"/>
      <c r="D8" s="40"/>
      <c r="E8" s="40"/>
      <c r="F8" s="40"/>
      <c r="G8" s="69" t="s">
        <v>145</v>
      </c>
      <c r="H8" s="69" t="s">
        <v>146</v>
      </c>
      <c r="I8" s="69"/>
      <c r="J8" s="69" t="s">
        <v>147</v>
      </c>
      <c r="K8" s="69"/>
      <c r="L8" s="40"/>
      <c r="M8" s="40" t="s">
        <v>148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</row>
    <row r="9" spans="1:125" s="72" customFormat="1" ht="15">
      <c r="A9" s="40" t="s">
        <v>149</v>
      </c>
      <c r="B9" s="18">
        <f t="shared" si="0"/>
        <v>80</v>
      </c>
      <c r="C9" s="40"/>
      <c r="D9" s="40"/>
      <c r="E9" s="40"/>
      <c r="F9" s="40"/>
      <c r="G9" s="69">
        <v>40</v>
      </c>
      <c r="H9" s="69"/>
      <c r="I9" s="69"/>
      <c r="J9" s="69">
        <v>40</v>
      </c>
      <c r="K9" s="6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</row>
    <row r="10" spans="1:125" s="72" customFormat="1" ht="15">
      <c r="A10" s="40"/>
      <c r="B10" s="18">
        <f t="shared" si="0"/>
        <v>0</v>
      </c>
      <c r="C10" s="40"/>
      <c r="D10" s="40"/>
      <c r="E10" s="40"/>
      <c r="F10" s="40"/>
      <c r="G10" s="69"/>
      <c r="H10" s="69"/>
      <c r="I10" s="69"/>
      <c r="J10" s="69"/>
      <c r="K10" s="6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</row>
    <row r="11" spans="1:125" s="72" customFormat="1" ht="15">
      <c r="A11" s="40" t="s">
        <v>150</v>
      </c>
      <c r="B11" s="18">
        <f t="shared" si="0"/>
        <v>64</v>
      </c>
      <c r="C11" s="40"/>
      <c r="D11" s="40"/>
      <c r="E11" s="40"/>
      <c r="F11" s="40"/>
      <c r="G11" s="69">
        <v>40</v>
      </c>
      <c r="H11" s="69">
        <v>24</v>
      </c>
      <c r="I11" s="69"/>
      <c r="J11" s="69"/>
      <c r="K11" s="6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</row>
    <row r="12" spans="1:125" s="72" customFormat="1" ht="15">
      <c r="A12" s="40" t="s">
        <v>151</v>
      </c>
      <c r="B12" s="18">
        <f t="shared" si="0"/>
        <v>80</v>
      </c>
      <c r="C12" s="40"/>
      <c r="D12" s="40"/>
      <c r="E12" s="40"/>
      <c r="F12" s="40"/>
      <c r="G12" s="69"/>
      <c r="H12" s="69"/>
      <c r="I12" s="69"/>
      <c r="J12" s="69">
        <v>80</v>
      </c>
      <c r="K12" s="6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</row>
    <row r="13" spans="1:12" ht="15">
      <c r="A13" s="6"/>
      <c r="B13" s="18">
        <f t="shared" si="0"/>
        <v>0</v>
      </c>
      <c r="C13" s="41"/>
      <c r="D13" s="41"/>
      <c r="E13" s="41"/>
      <c r="F13" s="41"/>
      <c r="G13" s="71"/>
      <c r="H13" s="71"/>
      <c r="I13" s="71"/>
      <c r="J13" s="71"/>
      <c r="K13" s="71"/>
      <c r="L13" s="7"/>
    </row>
    <row r="14" spans="1:12" ht="15">
      <c r="A14" s="6"/>
      <c r="B14" s="18">
        <f t="shared" si="0"/>
        <v>0</v>
      </c>
      <c r="C14" s="41"/>
      <c r="D14" s="41"/>
      <c r="E14" s="41"/>
      <c r="F14" s="41"/>
      <c r="G14" s="71"/>
      <c r="H14" s="71"/>
      <c r="I14" s="71"/>
      <c r="J14" s="71"/>
      <c r="K14" s="71"/>
      <c r="L14" s="7"/>
    </row>
    <row r="15" spans="1:12" ht="15.75" thickBot="1">
      <c r="A15" s="14" t="s">
        <v>2</v>
      </c>
      <c r="B15" s="17"/>
      <c r="C15" s="17"/>
      <c r="D15" s="17"/>
      <c r="E15" s="17"/>
      <c r="F15" s="17"/>
      <c r="G15" s="73"/>
      <c r="H15" s="73"/>
      <c r="I15" s="73"/>
      <c r="J15" s="73"/>
      <c r="K15" s="74"/>
      <c r="L15" s="16"/>
    </row>
    <row r="16" spans="1:10" ht="15">
      <c r="A16" s="186" t="s">
        <v>361</v>
      </c>
      <c r="B16" s="255">
        <f>SUM(B4:B15)</f>
        <v>584</v>
      </c>
      <c r="G16" s="40">
        <f>SUM(G4:G15)</f>
        <v>104</v>
      </c>
      <c r="H16" s="40">
        <f aca="true" t="shared" si="1" ref="H16:J16">SUM(H4:H15)</f>
        <v>40</v>
      </c>
      <c r="I16" s="40">
        <f t="shared" si="1"/>
        <v>0</v>
      </c>
      <c r="J16" s="40">
        <f t="shared" si="1"/>
        <v>440</v>
      </c>
    </row>
    <row r="17" spans="1:10" ht="15">
      <c r="A17" s="250" t="s">
        <v>135</v>
      </c>
      <c r="B17" s="256">
        <f>B16/40</f>
        <v>14.6</v>
      </c>
      <c r="G17" s="40">
        <f>G16/40</f>
        <v>2.6</v>
      </c>
      <c r="H17" s="40">
        <f aca="true" t="shared" si="2" ref="H17:J17">H16/40</f>
        <v>1</v>
      </c>
      <c r="I17" s="40">
        <f t="shared" si="2"/>
        <v>0</v>
      </c>
      <c r="J17" s="40">
        <f t="shared" si="2"/>
        <v>11</v>
      </c>
    </row>
    <row r="18" spans="1:2" ht="15">
      <c r="A18" s="250" t="s">
        <v>302</v>
      </c>
      <c r="B18" s="256">
        <f>B17/44</f>
        <v>0.3318181818181818</v>
      </c>
    </row>
    <row r="19" spans="1:10" ht="15">
      <c r="A19" s="250" t="s">
        <v>458</v>
      </c>
      <c r="B19" s="256"/>
      <c r="G19" s="188">
        <v>3.26</v>
      </c>
      <c r="H19" s="188">
        <v>2.28</v>
      </c>
      <c r="I19" s="188"/>
      <c r="J19" s="188">
        <v>1.9</v>
      </c>
    </row>
    <row r="20" spans="1:10" ht="15">
      <c r="A20" s="186" t="s">
        <v>473</v>
      </c>
      <c r="B20" s="356">
        <f>SUM(G20:J20)</f>
        <v>31.657</v>
      </c>
      <c r="G20" s="188">
        <v>8.476</v>
      </c>
      <c r="H20" s="188">
        <v>2.28</v>
      </c>
      <c r="I20" s="188"/>
      <c r="J20" s="188">
        <v>20.901</v>
      </c>
    </row>
    <row r="21" spans="10:27" ht="15">
      <c r="J21" s="75"/>
      <c r="U21" s="43"/>
      <c r="V21" s="44"/>
      <c r="W21" s="44"/>
      <c r="X21" s="44"/>
      <c r="Y21" s="44"/>
      <c r="Z21" s="44"/>
      <c r="AA21" s="44"/>
    </row>
    <row r="22" spans="1:10" ht="15">
      <c r="A22" s="250" t="s">
        <v>466</v>
      </c>
      <c r="B22" s="357">
        <v>1.0175</v>
      </c>
      <c r="G22" s="188">
        <f>G19*B$22</f>
        <v>3.31705</v>
      </c>
      <c r="H22" s="188">
        <f>H19*B$22</f>
        <v>2.3199</v>
      </c>
      <c r="I22" s="188"/>
      <c r="J22" s="188">
        <f>J19*B$22</f>
        <v>1.9332500000000001</v>
      </c>
    </row>
    <row r="23" spans="1:10" ht="15.75" customHeight="1">
      <c r="A23" s="186" t="s">
        <v>474</v>
      </c>
      <c r="B23" s="333">
        <f>SUM(G23:J23)</f>
        <v>32.20998</v>
      </c>
      <c r="G23" s="188">
        <f>G22*G17</f>
        <v>8.62433</v>
      </c>
      <c r="H23" s="188">
        <f>H22*H17</f>
        <v>2.3199</v>
      </c>
      <c r="I23" s="188"/>
      <c r="J23" s="188">
        <f>J22*J17</f>
        <v>21.26575</v>
      </c>
    </row>
    <row r="24" spans="1:10" ht="15.75" customHeight="1">
      <c r="A24" s="186"/>
      <c r="B24" s="356"/>
      <c r="G24" s="188"/>
      <c r="H24" s="188"/>
      <c r="I24" s="188"/>
      <c r="J24" s="188"/>
    </row>
    <row r="25" spans="2:27" ht="15.75" thickBot="1">
      <c r="B25" s="33" t="s">
        <v>153</v>
      </c>
      <c r="G25" s="40" t="s">
        <v>152</v>
      </c>
      <c r="W25" s="44"/>
      <c r="X25" s="44"/>
      <c r="Y25" s="44"/>
      <c r="Z25" s="44"/>
      <c r="AA25" s="44"/>
    </row>
    <row r="26" spans="2:13" ht="15">
      <c r="B26" s="334"/>
      <c r="C26" s="335"/>
      <c r="D26" s="335" t="s">
        <v>154</v>
      </c>
      <c r="E26" s="335" t="s">
        <v>155</v>
      </c>
      <c r="F26" s="335" t="s">
        <v>156</v>
      </c>
      <c r="G26" s="335"/>
      <c r="H26" s="335"/>
      <c r="I26" s="335"/>
      <c r="J26" s="335"/>
      <c r="K26" s="335"/>
      <c r="L26" s="335"/>
      <c r="M26" s="336"/>
    </row>
    <row r="27" spans="2:13" ht="15">
      <c r="B27" s="337" t="s">
        <v>157</v>
      </c>
      <c r="C27" s="44"/>
      <c r="D27" s="44">
        <v>3.5</v>
      </c>
      <c r="E27" s="44">
        <v>32</v>
      </c>
      <c r="F27" s="44">
        <f>D27*E27</f>
        <v>112</v>
      </c>
      <c r="G27" s="44"/>
      <c r="H27" s="44"/>
      <c r="I27" s="44"/>
      <c r="J27" s="44"/>
      <c r="K27" s="44"/>
      <c r="L27" s="44"/>
      <c r="M27" s="338"/>
    </row>
    <row r="28" spans="2:13" ht="15">
      <c r="B28" s="337" t="s">
        <v>157</v>
      </c>
      <c r="C28" s="44"/>
      <c r="D28" s="44">
        <v>3.5</v>
      </c>
      <c r="E28" s="44">
        <v>0</v>
      </c>
      <c r="F28" s="44">
        <f aca="true" t="shared" si="3" ref="F28:F30">D28*E28</f>
        <v>0</v>
      </c>
      <c r="G28" s="44"/>
      <c r="H28" s="44"/>
      <c r="I28" s="44"/>
      <c r="J28" s="44"/>
      <c r="K28" s="44"/>
      <c r="L28" s="44"/>
      <c r="M28" s="338"/>
    </row>
    <row r="29" spans="2:13" ht="15">
      <c r="B29" s="337" t="s">
        <v>158</v>
      </c>
      <c r="C29" s="44"/>
      <c r="D29" s="44">
        <v>10</v>
      </c>
      <c r="E29" s="44">
        <v>2</v>
      </c>
      <c r="F29" s="44">
        <f t="shared" si="3"/>
        <v>20</v>
      </c>
      <c r="G29" s="44"/>
      <c r="H29" s="44"/>
      <c r="I29" s="44"/>
      <c r="J29" s="44"/>
      <c r="K29" s="44"/>
      <c r="L29" s="44"/>
      <c r="M29" s="338"/>
    </row>
    <row r="30" spans="2:13" ht="15">
      <c r="B30" s="337" t="s">
        <v>159</v>
      </c>
      <c r="C30" s="44"/>
      <c r="D30" s="44">
        <v>1.5</v>
      </c>
      <c r="E30" s="44">
        <v>5</v>
      </c>
      <c r="F30" s="44">
        <f t="shared" si="3"/>
        <v>7.5</v>
      </c>
      <c r="G30" s="44" t="s">
        <v>160</v>
      </c>
      <c r="H30" s="44"/>
      <c r="I30" s="44"/>
      <c r="J30" s="44"/>
      <c r="K30" s="44"/>
      <c r="L30" s="44"/>
      <c r="M30" s="338"/>
    </row>
    <row r="31" spans="2:13" ht="15.75" thickBot="1">
      <c r="B31" s="115" t="s">
        <v>161</v>
      </c>
      <c r="C31" s="339"/>
      <c r="D31" s="339"/>
      <c r="E31" s="339"/>
      <c r="F31" s="339">
        <v>5</v>
      </c>
      <c r="G31" s="339"/>
      <c r="H31" s="339"/>
      <c r="I31" s="339"/>
      <c r="J31" s="339"/>
      <c r="K31" s="339"/>
      <c r="L31" s="339"/>
      <c r="M31" s="340"/>
    </row>
    <row r="32" ht="15">
      <c r="F32" s="320">
        <f>SUM(F27:F31)</f>
        <v>144.5</v>
      </c>
    </row>
    <row r="41" ht="15">
      <c r="C41" s="40" t="s">
        <v>162</v>
      </c>
    </row>
    <row r="42" spans="3:10" ht="15">
      <c r="C42" s="40" t="s">
        <v>83</v>
      </c>
      <c r="D42" s="43"/>
      <c r="E42" s="44"/>
      <c r="F42" s="44"/>
      <c r="G42" s="44"/>
      <c r="H42" s="44"/>
      <c r="I42" s="44"/>
      <c r="J42" s="44"/>
    </row>
    <row r="43" spans="4:10" ht="15">
      <c r="D43" s="44"/>
      <c r="E43" s="44"/>
      <c r="F43" s="44"/>
      <c r="G43" s="44" t="s">
        <v>84</v>
      </c>
      <c r="H43" s="44"/>
      <c r="I43" s="44"/>
      <c r="J43" s="44"/>
    </row>
    <row r="44" spans="4:7" ht="15">
      <c r="D44" s="288">
        <v>4</v>
      </c>
      <c r="E44" s="46" t="s">
        <v>85</v>
      </c>
      <c r="G44" s="40" t="s">
        <v>86</v>
      </c>
    </row>
    <row r="45" spans="4:9" ht="15">
      <c r="D45" s="45">
        <v>18</v>
      </c>
      <c r="E45" s="47" t="s">
        <v>87</v>
      </c>
      <c r="G45" s="40" t="s">
        <v>86</v>
      </c>
      <c r="I45" s="40" t="s">
        <v>125</v>
      </c>
    </row>
    <row r="46" spans="4:7" ht="15">
      <c r="D46" s="45">
        <v>7</v>
      </c>
      <c r="E46" s="47" t="s">
        <v>88</v>
      </c>
      <c r="G46" s="40" t="s">
        <v>89</v>
      </c>
    </row>
    <row r="47" spans="4:9" ht="15">
      <c r="D47" s="45">
        <v>1</v>
      </c>
      <c r="E47" s="47" t="s">
        <v>90</v>
      </c>
      <c r="G47" s="40" t="s">
        <v>89</v>
      </c>
      <c r="I47" s="40" t="s">
        <v>126</v>
      </c>
    </row>
    <row r="48" spans="4:9" ht="15">
      <c r="D48" s="45">
        <v>1</v>
      </c>
      <c r="E48" s="47" t="s">
        <v>91</v>
      </c>
      <c r="G48" s="40" t="s">
        <v>92</v>
      </c>
      <c r="I48" s="40" t="s">
        <v>126</v>
      </c>
    </row>
    <row r="49" spans="4:7" ht="15">
      <c r="D49" s="45">
        <v>11</v>
      </c>
      <c r="E49" s="46" t="s">
        <v>95</v>
      </c>
      <c r="G49" s="40" t="s">
        <v>89</v>
      </c>
    </row>
    <row r="50" spans="4:7" ht="15">
      <c r="D50" s="45">
        <v>2</v>
      </c>
      <c r="E50" s="46" t="s">
        <v>93</v>
      </c>
      <c r="G50" s="40" t="s">
        <v>94</v>
      </c>
    </row>
  </sheetData>
  <mergeCells count="2">
    <mergeCell ref="A1:L1"/>
    <mergeCell ref="C2:L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66"/>
  <sheetViews>
    <sheetView zoomScale="80" zoomScaleNormal="80" workbookViewId="0" topLeftCell="B19">
      <selection activeCell="G40" sqref="G40"/>
    </sheetView>
  </sheetViews>
  <sheetFormatPr defaultColWidth="9.140625" defaultRowHeight="15"/>
  <cols>
    <col min="1" max="1" width="35.140625" style="40" customWidth="1"/>
    <col min="2" max="2" width="52.8515625" style="40" customWidth="1"/>
    <col min="3" max="3" width="15.57421875" style="40" customWidth="1"/>
    <col min="4" max="4" width="12.8515625" style="40" customWidth="1"/>
    <col min="5" max="5" width="17.8515625" style="40" customWidth="1"/>
    <col min="6" max="6" width="27.28125" style="40" customWidth="1"/>
    <col min="7" max="7" width="10.00390625" style="40" bestFit="1" customWidth="1"/>
    <col min="8" max="8" width="8.421875" style="40" customWidth="1"/>
    <col min="9" max="9" width="8.28125" style="40" customWidth="1"/>
    <col min="10" max="10" width="9.7109375" style="40" customWidth="1"/>
    <col min="11" max="11" width="11.7109375" style="40" customWidth="1"/>
    <col min="12" max="13" width="12.140625" style="40" customWidth="1"/>
    <col min="14" max="14" width="12.421875" style="40" customWidth="1"/>
    <col min="15" max="15" width="9.8515625" style="40" customWidth="1"/>
    <col min="16" max="16" width="10.28125" style="40" customWidth="1"/>
    <col min="17" max="17" width="9.7109375" style="40" customWidth="1"/>
    <col min="18" max="18" width="11.00390625" style="40" customWidth="1"/>
    <col min="19" max="20" width="12.140625" style="40" customWidth="1"/>
    <col min="21" max="22" width="9.140625" style="40" customWidth="1"/>
    <col min="23" max="24" width="16.57421875" style="40" customWidth="1"/>
    <col min="25" max="25" width="18.7109375" style="40" customWidth="1"/>
    <col min="26" max="26" width="16.7109375" style="40" customWidth="1"/>
    <col min="27" max="28" width="15.00390625" style="40" customWidth="1"/>
    <col min="29" max="29" width="19.421875" style="40" customWidth="1"/>
    <col min="30" max="30" width="13.00390625" style="40" customWidth="1"/>
    <col min="31" max="31" width="9.140625" style="40" customWidth="1"/>
    <col min="32" max="32" width="27.421875" style="40" customWidth="1"/>
    <col min="33" max="33" width="40.8515625" style="40" customWidth="1"/>
    <col min="34" max="43" width="9.140625" style="40" customWidth="1"/>
    <col min="44" max="44" width="17.421875" style="40" customWidth="1"/>
    <col min="45" max="45" width="18.7109375" style="40" customWidth="1"/>
    <col min="46" max="46" width="12.00390625" style="40" customWidth="1"/>
    <col min="47" max="16384" width="9.140625" style="40" customWidth="1"/>
  </cols>
  <sheetData>
    <row r="1" spans="1:5" ht="15">
      <c r="A1" s="79" t="s">
        <v>164</v>
      </c>
      <c r="B1" s="79" t="s">
        <v>165</v>
      </c>
      <c r="C1" s="80">
        <v>42093</v>
      </c>
      <c r="D1" s="81"/>
      <c r="E1" s="81"/>
    </row>
    <row r="2" spans="1:2" ht="15">
      <c r="A2" s="40" t="s">
        <v>166</v>
      </c>
      <c r="B2" s="40" t="s">
        <v>167</v>
      </c>
    </row>
    <row r="3" spans="1:2" ht="15">
      <c r="A3" s="40" t="s">
        <v>168</v>
      </c>
      <c r="B3" s="40" t="s">
        <v>169</v>
      </c>
    </row>
    <row r="4" spans="1:2" ht="15">
      <c r="A4" s="40" t="s">
        <v>170</v>
      </c>
      <c r="B4" s="40" t="s">
        <v>171</v>
      </c>
    </row>
    <row r="5" spans="1:2" ht="15">
      <c r="A5" s="40" t="s">
        <v>172</v>
      </c>
      <c r="B5" s="40" t="s">
        <v>173</v>
      </c>
    </row>
    <row r="6" spans="1:2" ht="15">
      <c r="A6" s="40" t="s">
        <v>174</v>
      </c>
      <c r="B6" s="40" t="s">
        <v>175</v>
      </c>
    </row>
    <row r="7" spans="1:3" ht="15">
      <c r="A7" s="40" t="s">
        <v>176</v>
      </c>
      <c r="B7" s="40" t="s">
        <v>177</v>
      </c>
      <c r="C7" s="40" t="s">
        <v>178</v>
      </c>
    </row>
    <row r="8" spans="1:3" ht="15">
      <c r="A8" s="40" t="s">
        <v>179</v>
      </c>
      <c r="B8" s="40" t="s">
        <v>180</v>
      </c>
      <c r="C8" s="40" t="s">
        <v>181</v>
      </c>
    </row>
    <row r="9" spans="1:3" ht="15">
      <c r="A9" s="40" t="s">
        <v>182</v>
      </c>
      <c r="B9" s="40" t="s">
        <v>183</v>
      </c>
      <c r="C9" s="40" t="s">
        <v>184</v>
      </c>
    </row>
    <row r="10" spans="1:2" ht="15">
      <c r="A10" s="40" t="s">
        <v>185</v>
      </c>
      <c r="B10" s="82">
        <v>0</v>
      </c>
    </row>
    <row r="11" ht="15">
      <c r="B11" s="82"/>
    </row>
    <row r="12" spans="1:2" ht="15">
      <c r="A12" s="40" t="s">
        <v>186</v>
      </c>
      <c r="B12" s="82">
        <v>42186</v>
      </c>
    </row>
    <row r="13" spans="1:2" ht="15">
      <c r="A13" s="40" t="s">
        <v>187</v>
      </c>
      <c r="B13" s="82">
        <v>42307</v>
      </c>
    </row>
    <row r="14" spans="1:2" ht="15.75" thickBot="1">
      <c r="A14" s="40" t="s">
        <v>188</v>
      </c>
      <c r="B14" s="83">
        <v>0</v>
      </c>
    </row>
    <row r="15" spans="1:6" s="41" customFormat="1" ht="15">
      <c r="A15" s="84" t="s">
        <v>189</v>
      </c>
      <c r="B15" s="85"/>
      <c r="C15" s="86"/>
      <c r="D15" s="86"/>
      <c r="E15" s="87"/>
      <c r="F15" s="257" t="s">
        <v>360</v>
      </c>
    </row>
    <row r="16" spans="1:6" ht="15.75" thickBot="1">
      <c r="A16" s="88" t="s">
        <v>190</v>
      </c>
      <c r="B16" s="89">
        <f>SUM(W43:W238)</f>
        <v>536</v>
      </c>
      <c r="C16" s="90" t="s">
        <v>191</v>
      </c>
      <c r="D16" s="91">
        <f>B16/40</f>
        <v>13.4</v>
      </c>
      <c r="E16" s="92" t="s">
        <v>192</v>
      </c>
      <c r="F16" s="258">
        <f>D16/44</f>
        <v>0.30454545454545456</v>
      </c>
    </row>
    <row r="17" spans="1:5" ht="15">
      <c r="A17" s="6" t="s">
        <v>193</v>
      </c>
      <c r="B17" s="349">
        <f>G36</f>
        <v>26.962</v>
      </c>
      <c r="C17" s="41"/>
      <c r="D17" s="330">
        <f>G36</f>
        <v>26.962</v>
      </c>
      <c r="E17" s="7"/>
    </row>
    <row r="18" spans="1:5" ht="15">
      <c r="A18" s="6" t="s">
        <v>194</v>
      </c>
      <c r="B18" s="95">
        <f>AD37</f>
        <v>10666.5</v>
      </c>
      <c r="C18" s="41"/>
      <c r="D18" s="330">
        <f aca="true" t="shared" si="0" ref="D18:D21">B18/1000</f>
        <v>10.6665</v>
      </c>
      <c r="E18" s="7"/>
    </row>
    <row r="19" spans="1:5" ht="15.75" thickBot="1">
      <c r="A19" s="96" t="s">
        <v>195</v>
      </c>
      <c r="B19" s="97">
        <f>SUM(B17:B18)</f>
        <v>10693.462</v>
      </c>
      <c r="C19" s="98"/>
      <c r="D19" s="331">
        <f>AD40</f>
        <v>10.6665</v>
      </c>
      <c r="E19" s="100"/>
    </row>
    <row r="20" spans="1:5" ht="15">
      <c r="A20" s="6" t="s">
        <v>196</v>
      </c>
      <c r="B20" s="93">
        <f>B14*B19</f>
        <v>0</v>
      </c>
      <c r="C20" s="41"/>
      <c r="D20" s="330">
        <f>B14*D19</f>
        <v>0</v>
      </c>
      <c r="E20" s="7"/>
    </row>
    <row r="21" spans="1:5" ht="15.75" thickBot="1">
      <c r="A21" s="101" t="s">
        <v>163</v>
      </c>
      <c r="B21" s="102">
        <f>SUM(B19:B20)</f>
        <v>10693.462</v>
      </c>
      <c r="C21" s="102"/>
      <c r="D21" s="332">
        <f t="shared" si="0"/>
        <v>10.693462</v>
      </c>
      <c r="E21" s="104"/>
    </row>
    <row r="22" spans="1:5" ht="15.75" thickTop="1">
      <c r="A22" s="6"/>
      <c r="B22" s="93"/>
      <c r="C22" s="93"/>
      <c r="D22" s="94"/>
      <c r="E22" s="105"/>
    </row>
    <row r="23" spans="1:5" ht="15">
      <c r="A23" s="106" t="s">
        <v>197</v>
      </c>
      <c r="B23" s="107"/>
      <c r="C23" s="107"/>
      <c r="D23" s="108"/>
      <c r="E23" s="109"/>
    </row>
    <row r="24" spans="1:5" ht="15.75" thickBot="1">
      <c r="A24" s="110" t="s">
        <v>198</v>
      </c>
      <c r="B24" s="111">
        <f>G81</f>
        <v>0</v>
      </c>
      <c r="C24" s="112" t="s">
        <v>199</v>
      </c>
      <c r="D24" s="113">
        <f>G82</f>
        <v>0</v>
      </c>
      <c r="E24" s="114" t="s">
        <v>200</v>
      </c>
    </row>
    <row r="25" spans="1:5" ht="15">
      <c r="A25" s="6" t="s">
        <v>201</v>
      </c>
      <c r="B25" s="93" t="e">
        <f>Y81</f>
        <v>#REF!</v>
      </c>
      <c r="C25" s="41"/>
      <c r="D25" s="94" t="e">
        <f>Y82</f>
        <v>#REF!</v>
      </c>
      <c r="E25" s="7"/>
    </row>
    <row r="26" spans="1:5" ht="15">
      <c r="A26" s="6" t="s">
        <v>202</v>
      </c>
      <c r="B26" s="93">
        <f>SUM(AD55:AD246)</f>
        <v>0</v>
      </c>
      <c r="C26" s="41"/>
      <c r="D26" s="94">
        <f aca="true" t="shared" si="1" ref="D26">B26/1000</f>
        <v>0</v>
      </c>
      <c r="E26" s="7"/>
    </row>
    <row r="27" spans="1:5" ht="15.75" thickBot="1">
      <c r="A27" s="96" t="s">
        <v>203</v>
      </c>
      <c r="B27" s="97" t="e">
        <f>SUM(B25:B26)</f>
        <v>#REF!</v>
      </c>
      <c r="C27" s="98"/>
      <c r="D27" s="99" t="e">
        <f>SUM(D25:D26)</f>
        <v>#REF!</v>
      </c>
      <c r="E27" s="100"/>
    </row>
    <row r="28" spans="1:5" ht="15">
      <c r="A28" s="6" t="s">
        <v>204</v>
      </c>
      <c r="B28" s="93" t="e">
        <f>B14*B27</f>
        <v>#REF!</v>
      </c>
      <c r="C28" s="41"/>
      <c r="D28" s="94" t="e">
        <f>B14*D27</f>
        <v>#REF!</v>
      </c>
      <c r="E28" s="7"/>
    </row>
    <row r="29" spans="1:5" ht="15.75" thickBot="1">
      <c r="A29" s="101" t="s">
        <v>205</v>
      </c>
      <c r="B29" s="102" t="e">
        <f>SUM(B27:B28)</f>
        <v>#REF!</v>
      </c>
      <c r="C29" s="102"/>
      <c r="D29" s="103" t="e">
        <f aca="true" t="shared" si="2" ref="D29">B29/1000</f>
        <v>#REF!</v>
      </c>
      <c r="E29" s="104"/>
    </row>
    <row r="30" spans="1:5" ht="16.5" thickBot="1" thickTop="1">
      <c r="A30" s="115"/>
      <c r="B30" s="116"/>
      <c r="C30" s="116"/>
      <c r="D30" s="117"/>
      <c r="E30" s="118"/>
    </row>
    <row r="31" spans="1:5" ht="15">
      <c r="A31" s="44"/>
      <c r="B31" s="93"/>
      <c r="C31" s="93"/>
      <c r="D31" s="94"/>
      <c r="E31" s="93"/>
    </row>
    <row r="32" spans="1:5" ht="15">
      <c r="A32" s="44"/>
      <c r="B32" s="93"/>
      <c r="C32" s="93"/>
      <c r="D32" s="94"/>
      <c r="E32" s="93"/>
    </row>
    <row r="33" spans="1:5" ht="15">
      <c r="A33" s="41"/>
      <c r="B33" s="93"/>
      <c r="C33" s="93"/>
      <c r="D33" s="94"/>
      <c r="E33" s="93"/>
    </row>
    <row r="34" spans="1:5" ht="15">
      <c r="A34" s="41" t="s">
        <v>206</v>
      </c>
      <c r="B34" s="119">
        <v>0</v>
      </c>
      <c r="C34" s="93" t="s">
        <v>207</v>
      </c>
      <c r="D34" s="94"/>
      <c r="E34" s="93"/>
    </row>
    <row r="35" spans="1:20" ht="15">
      <c r="A35" s="41"/>
      <c r="B35" s="119"/>
      <c r="C35" s="93"/>
      <c r="D35" s="94"/>
      <c r="E35" s="93"/>
      <c r="F35" s="40" t="s">
        <v>472</v>
      </c>
      <c r="G35" s="222">
        <f>SUM(L35:T35)</f>
        <v>28.983719999999998</v>
      </c>
      <c r="L35" s="188">
        <f>L39*L40</f>
        <v>8.134739999999999</v>
      </c>
      <c r="M35" s="188"/>
      <c r="N35" s="188"/>
      <c r="O35" s="188"/>
      <c r="P35" s="188">
        <f>P39*P40</f>
        <v>1.8017</v>
      </c>
      <c r="Q35" s="188"/>
      <c r="R35" s="188">
        <f>R39*R40</f>
        <v>12.108369999999999</v>
      </c>
      <c r="S35" s="188"/>
      <c r="T35" s="188">
        <f>T39*T40</f>
        <v>6.938910000000001</v>
      </c>
    </row>
    <row r="36" spans="1:20" ht="15">
      <c r="A36" s="41"/>
      <c r="B36" s="93"/>
      <c r="C36" s="93"/>
      <c r="D36" s="94"/>
      <c r="E36" s="93"/>
      <c r="F36" s="40" t="s">
        <v>471</v>
      </c>
      <c r="G36" s="188">
        <f>SUM(L36:T36)</f>
        <v>26.962</v>
      </c>
      <c r="H36" s="120"/>
      <c r="I36" s="120"/>
      <c r="J36" s="120"/>
      <c r="K36" s="120"/>
      <c r="L36" s="188">
        <v>7.568</v>
      </c>
      <c r="M36" s="120"/>
      <c r="N36" s="120"/>
      <c r="O36" s="120"/>
      <c r="P36" s="188">
        <v>1.676</v>
      </c>
      <c r="Q36" s="120"/>
      <c r="R36" s="188">
        <v>11.262</v>
      </c>
      <c r="S36" s="120"/>
      <c r="T36" s="188">
        <v>6.456</v>
      </c>
    </row>
    <row r="37" spans="1:30" ht="15">
      <c r="A37" s="40" t="s">
        <v>208</v>
      </c>
      <c r="C37" s="121"/>
      <c r="E37" s="40">
        <f>E42*8/40</f>
        <v>0</v>
      </c>
      <c r="F37" s="122" t="s">
        <v>209</v>
      </c>
      <c r="G37" s="123">
        <f>SUM(H37:V37)</f>
        <v>536</v>
      </c>
      <c r="H37" s="124">
        <f>SUM(H43:H66)</f>
        <v>0</v>
      </c>
      <c r="I37" s="124">
        <f aca="true" t="shared" si="3" ref="I37:W37">SUM(I43:I66)</f>
        <v>0</v>
      </c>
      <c r="J37" s="124">
        <f t="shared" si="3"/>
        <v>0</v>
      </c>
      <c r="K37" s="124">
        <f t="shared" si="3"/>
        <v>0</v>
      </c>
      <c r="L37" s="124">
        <f t="shared" si="3"/>
        <v>96</v>
      </c>
      <c r="M37" s="124">
        <f t="shared" si="3"/>
        <v>0</v>
      </c>
      <c r="N37" s="124">
        <f t="shared" si="3"/>
        <v>0</v>
      </c>
      <c r="O37" s="124">
        <f t="shared" si="3"/>
        <v>0</v>
      </c>
      <c r="P37" s="124">
        <f t="shared" si="3"/>
        <v>32</v>
      </c>
      <c r="Q37" s="124">
        <f t="shared" si="3"/>
        <v>0</v>
      </c>
      <c r="R37" s="124">
        <f t="shared" si="3"/>
        <v>232</v>
      </c>
      <c r="S37" s="124">
        <f t="shared" si="3"/>
        <v>0</v>
      </c>
      <c r="T37" s="124">
        <f t="shared" si="3"/>
        <v>176</v>
      </c>
      <c r="U37" s="124">
        <f t="shared" si="3"/>
        <v>0</v>
      </c>
      <c r="V37" s="124">
        <f t="shared" si="3"/>
        <v>0</v>
      </c>
      <c r="W37" s="123">
        <f t="shared" si="3"/>
        <v>536</v>
      </c>
      <c r="X37" s="69" t="s">
        <v>210</v>
      </c>
      <c r="Y37" s="121" t="e">
        <f>SUM(Y43:Y66)</f>
        <v>#REF!</v>
      </c>
      <c r="Z37" s="121">
        <f aca="true" t="shared" si="4" ref="Z37:AB37">SUM(Z43:Z66)</f>
        <v>10666.5</v>
      </c>
      <c r="AA37" s="121">
        <f t="shared" si="4"/>
        <v>0</v>
      </c>
      <c r="AB37" s="121">
        <f t="shared" si="4"/>
        <v>0</v>
      </c>
      <c r="AC37" s="69" t="s">
        <v>211</v>
      </c>
      <c r="AD37" s="121">
        <f>SUM(AD43:AD66)</f>
        <v>10666.5</v>
      </c>
    </row>
    <row r="38" spans="3:30" ht="15">
      <c r="C38" s="121"/>
      <c r="F38" s="122" t="s">
        <v>467</v>
      </c>
      <c r="G38" s="123"/>
      <c r="H38" s="124"/>
      <c r="I38" s="124"/>
      <c r="J38" s="124"/>
      <c r="K38" s="124"/>
      <c r="L38" s="188">
        <v>3.153</v>
      </c>
      <c r="M38" s="124"/>
      <c r="N38" s="124"/>
      <c r="O38" s="124"/>
      <c r="P38" s="188">
        <v>2.095</v>
      </c>
      <c r="Q38" s="124"/>
      <c r="R38" s="188">
        <v>1.942</v>
      </c>
      <c r="S38" s="124"/>
      <c r="T38" s="188">
        <v>1.467</v>
      </c>
      <c r="U38" s="124"/>
      <c r="V38" s="124"/>
      <c r="W38" s="123"/>
      <c r="X38" s="69"/>
      <c r="Y38" s="121"/>
      <c r="Z38" s="121"/>
      <c r="AA38" s="121"/>
      <c r="AB38" s="121"/>
      <c r="AC38" s="69"/>
      <c r="AD38" s="121"/>
    </row>
    <row r="39" spans="3:30" ht="15">
      <c r="C39" s="121"/>
      <c r="F39" s="122" t="s">
        <v>468</v>
      </c>
      <c r="G39" s="354">
        <v>1.075</v>
      </c>
      <c r="H39" s="124"/>
      <c r="I39" s="124"/>
      <c r="J39" s="124"/>
      <c r="K39" s="124"/>
      <c r="L39" s="188">
        <f>L38*G$39</f>
        <v>3.389475</v>
      </c>
      <c r="M39" s="124"/>
      <c r="N39" s="124"/>
      <c r="O39" s="124"/>
      <c r="P39" s="188">
        <f>P38*G$39</f>
        <v>2.252125</v>
      </c>
      <c r="Q39" s="124"/>
      <c r="R39" s="188">
        <f>R38*G$39</f>
        <v>2.08765</v>
      </c>
      <c r="S39" s="124"/>
      <c r="T39" s="188">
        <f>T38*G$39</f>
        <v>1.5770250000000001</v>
      </c>
      <c r="U39" s="124"/>
      <c r="V39" s="124"/>
      <c r="W39" s="123"/>
      <c r="X39" s="69"/>
      <c r="Y39" s="121"/>
      <c r="Z39" s="121"/>
      <c r="AA39" s="121"/>
      <c r="AB39" s="121"/>
      <c r="AC39" s="69"/>
      <c r="AD39" s="121"/>
    </row>
    <row r="40" spans="1:30" ht="21">
      <c r="A40" s="125" t="s">
        <v>212</v>
      </c>
      <c r="F40" s="122" t="s">
        <v>213</v>
      </c>
      <c r="G40" s="126">
        <f>SUM(H40:V40)</f>
        <v>13.4</v>
      </c>
      <c r="H40" s="127">
        <f>H37/40</f>
        <v>0</v>
      </c>
      <c r="I40" s="127">
        <f aca="true" t="shared" si="5" ref="I40:W40">I37/40</f>
        <v>0</v>
      </c>
      <c r="J40" s="127">
        <f t="shared" si="5"/>
        <v>0</v>
      </c>
      <c r="K40" s="127">
        <f t="shared" si="5"/>
        <v>0</v>
      </c>
      <c r="L40" s="127">
        <f t="shared" si="5"/>
        <v>2.4</v>
      </c>
      <c r="M40" s="127">
        <f t="shared" si="5"/>
        <v>0</v>
      </c>
      <c r="N40" s="127">
        <f t="shared" si="5"/>
        <v>0</v>
      </c>
      <c r="O40" s="127">
        <f t="shared" si="5"/>
        <v>0</v>
      </c>
      <c r="P40" s="127">
        <f t="shared" si="5"/>
        <v>0.8</v>
      </c>
      <c r="Q40" s="127">
        <f t="shared" si="5"/>
        <v>0</v>
      </c>
      <c r="R40" s="127">
        <f t="shared" si="5"/>
        <v>5.8</v>
      </c>
      <c r="S40" s="127">
        <f t="shared" si="5"/>
        <v>0</v>
      </c>
      <c r="T40" s="127">
        <f t="shared" si="5"/>
        <v>4.4</v>
      </c>
      <c r="U40" s="127">
        <f t="shared" si="5"/>
        <v>0</v>
      </c>
      <c r="V40" s="127">
        <f t="shared" si="5"/>
        <v>0</v>
      </c>
      <c r="W40" s="126">
        <f t="shared" si="5"/>
        <v>13.4</v>
      </c>
      <c r="X40" s="69" t="s">
        <v>214</v>
      </c>
      <c r="Y40" s="128" t="e">
        <f>Y37/1000</f>
        <v>#REF!</v>
      </c>
      <c r="Z40" s="355">
        <f aca="true" t="shared" si="6" ref="Z40:AB40">Z37/1000</f>
        <v>10.6665</v>
      </c>
      <c r="AA40" s="128">
        <f t="shared" si="6"/>
        <v>0</v>
      </c>
      <c r="AB40" s="128">
        <f t="shared" si="6"/>
        <v>0</v>
      </c>
      <c r="AC40" s="69" t="s">
        <v>215</v>
      </c>
      <c r="AD40" s="128">
        <f>AD37/1000</f>
        <v>10.6665</v>
      </c>
    </row>
    <row r="41" spans="1:33" ht="15">
      <c r="A41" s="129" t="s">
        <v>216</v>
      </c>
      <c r="B41" s="130" t="s">
        <v>0</v>
      </c>
      <c r="C41" s="49" t="s">
        <v>217</v>
      </c>
      <c r="D41" s="131" t="s">
        <v>218</v>
      </c>
      <c r="E41" s="49" t="s">
        <v>219</v>
      </c>
      <c r="F41" s="49" t="s">
        <v>220</v>
      </c>
      <c r="G41" s="3"/>
      <c r="H41" s="132" t="s">
        <v>1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3"/>
      <c r="X41" s="132"/>
      <c r="Y41" s="130"/>
      <c r="Z41" s="133" t="s">
        <v>221</v>
      </c>
      <c r="AA41" s="132"/>
      <c r="AB41" s="132"/>
      <c r="AC41" s="132"/>
      <c r="AD41" s="132"/>
      <c r="AE41" s="130"/>
      <c r="AF41" s="133"/>
      <c r="AG41" s="133" t="s">
        <v>222</v>
      </c>
    </row>
    <row r="42" spans="1:33" ht="15">
      <c r="A42" s="134"/>
      <c r="B42" s="135"/>
      <c r="C42" s="136"/>
      <c r="D42" s="137"/>
      <c r="E42" s="138">
        <f>NETWORKDAYS(C42,D42,$AS$140:$AS$153)</f>
        <v>0</v>
      </c>
      <c r="F42" s="139" t="s">
        <v>223</v>
      </c>
      <c r="G42" s="4" t="s">
        <v>2</v>
      </c>
      <c r="H42" s="5" t="s">
        <v>3</v>
      </c>
      <c r="I42" s="5" t="s">
        <v>4</v>
      </c>
      <c r="J42" s="5" t="s">
        <v>5</v>
      </c>
      <c r="K42" s="5" t="s">
        <v>6</v>
      </c>
      <c r="L42" s="5" t="s">
        <v>7</v>
      </c>
      <c r="M42" s="5" t="s">
        <v>80</v>
      </c>
      <c r="N42" s="5" t="s">
        <v>224</v>
      </c>
      <c r="O42" s="5" t="s">
        <v>225</v>
      </c>
      <c r="P42" s="5" t="s">
        <v>8</v>
      </c>
      <c r="Q42" s="5" t="s">
        <v>9</v>
      </c>
      <c r="R42" s="5" t="s">
        <v>10</v>
      </c>
      <c r="S42" s="5" t="s">
        <v>11</v>
      </c>
      <c r="T42" s="5" t="s">
        <v>12</v>
      </c>
      <c r="U42" s="5" t="s">
        <v>226</v>
      </c>
      <c r="V42" s="5" t="s">
        <v>227</v>
      </c>
      <c r="W42" s="4" t="s">
        <v>2</v>
      </c>
      <c r="X42" s="5"/>
      <c r="Y42" s="140" t="s">
        <v>228</v>
      </c>
      <c r="Z42" s="141" t="s">
        <v>229</v>
      </c>
      <c r="AA42" s="142" t="s">
        <v>230</v>
      </c>
      <c r="AB42" s="142" t="s">
        <v>231</v>
      </c>
      <c r="AC42" s="142" t="s">
        <v>232</v>
      </c>
      <c r="AD42" s="142" t="s">
        <v>233</v>
      </c>
      <c r="AE42" s="135"/>
      <c r="AF42" s="141" t="s">
        <v>0</v>
      </c>
      <c r="AG42" s="141"/>
    </row>
    <row r="43" spans="1:32" ht="17.25">
      <c r="A43" s="59">
        <v>0</v>
      </c>
      <c r="B43" s="40" t="s">
        <v>13</v>
      </c>
      <c r="C43" s="143"/>
      <c r="D43" s="287"/>
      <c r="E43" s="145">
        <f>NETWORKDAYS(C43,D43,$AS$140:$AS$166)</f>
        <v>0</v>
      </c>
      <c r="F43" s="146"/>
      <c r="G43" s="2">
        <f>SUM(H43:U43)</f>
        <v>8</v>
      </c>
      <c r="H43" s="77"/>
      <c r="I43" s="77"/>
      <c r="J43" s="77"/>
      <c r="K43" s="77"/>
      <c r="L43" s="77">
        <v>8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2">
        <f aca="true" t="shared" si="7" ref="W43:W66">SUM(H43:V43)</f>
        <v>8</v>
      </c>
      <c r="X43" s="147"/>
      <c r="Y43" s="148" t="e">
        <f>(H43*#REF!+'EESSAF-ODH 4-22-15'!I43*#REF!+'EESSAF-ODH 4-22-15'!J43*#REF!+'EESSAF-ODH 4-22-15'!K43*#REF!+'EESSAF-ODH 4-22-15'!L43*#REF!+'EESSAF-ODH 4-22-15'!M43*#REF!+'EESSAF-ODH 4-22-15'!N43*#REF!+'EESSAF-ODH 4-22-15'!O43*#REF!+'EESSAF-ODH 4-22-15'!P43*#REF!+'EESSAF-ODH 4-22-15'!Q43*#REF!+'EESSAF-ODH 4-22-15'!R43*#REF!+S43*#REF!+'EESSAF-ODH 4-22-15'!T43*#REF!+'EESSAF-ODH 4-22-15'!U43*#REF!)*1000/40</f>
        <v>#REF!</v>
      </c>
      <c r="Z43" s="120"/>
      <c r="AA43" s="120"/>
      <c r="AB43" s="120"/>
      <c r="AC43" s="120"/>
      <c r="AD43" s="120">
        <f aca="true" t="shared" si="8" ref="AD43:AD66">SUM(Z43:AC43)</f>
        <v>0</v>
      </c>
      <c r="AE43" s="149"/>
      <c r="AF43" s="40" t="str">
        <f>B43</f>
        <v>Management Oversight</v>
      </c>
    </row>
    <row r="44" spans="1:32" ht="17.25">
      <c r="A44" s="59">
        <f aca="true" t="shared" si="9" ref="A44:A75">A43+1</f>
        <v>1</v>
      </c>
      <c r="B44" s="40" t="s">
        <v>14</v>
      </c>
      <c r="C44" s="143"/>
      <c r="D44" s="144"/>
      <c r="E44" s="41">
        <f aca="true" t="shared" si="10" ref="E44:E66">NETWORKDAYS(C44,D44,$AS$140:$AS$153)</f>
        <v>0</v>
      </c>
      <c r="F44" s="146"/>
      <c r="G44" s="2">
        <f aca="true" t="shared" si="11" ref="G44:G66">SUM(H44:U44)</f>
        <v>8</v>
      </c>
      <c r="H44" s="59"/>
      <c r="I44" s="77"/>
      <c r="J44" s="77"/>
      <c r="K44" s="77"/>
      <c r="L44" s="77">
        <v>8</v>
      </c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2">
        <f t="shared" si="7"/>
        <v>8</v>
      </c>
      <c r="X44" s="147"/>
      <c r="Y44" s="148" t="e">
        <f>(H44*#REF!+'EESSAF-ODH 4-22-15'!I44*#REF!+'EESSAF-ODH 4-22-15'!J44*#REF!+'EESSAF-ODH 4-22-15'!K44*#REF!+'EESSAF-ODH 4-22-15'!L44*#REF!+'EESSAF-ODH 4-22-15'!M44*#REF!+'EESSAF-ODH 4-22-15'!N44*#REF!+'EESSAF-ODH 4-22-15'!O44*#REF!+'EESSAF-ODH 4-22-15'!P44*#REF!+'EESSAF-ODH 4-22-15'!Q44*#REF!+'EESSAF-ODH 4-22-15'!R44*#REF!+S44*#REF!+'EESSAF-ODH 4-22-15'!T44*#REF!+'EESSAF-ODH 4-22-15'!U44*#REF!)*1000/40</f>
        <v>#REF!</v>
      </c>
      <c r="Z44" s="120"/>
      <c r="AA44" s="120"/>
      <c r="AB44" s="120"/>
      <c r="AC44" s="120"/>
      <c r="AD44" s="120">
        <f t="shared" si="8"/>
        <v>0</v>
      </c>
      <c r="AE44" s="150"/>
      <c r="AF44" s="40" t="str">
        <f aca="true" t="shared" si="12" ref="AF44:AF67">B44</f>
        <v>Develop Architecture</v>
      </c>
    </row>
    <row r="45" spans="1:32" ht="17.25">
      <c r="A45" s="59">
        <f t="shared" si="9"/>
        <v>2</v>
      </c>
      <c r="B45" s="40" t="s">
        <v>15</v>
      </c>
      <c r="C45" s="143"/>
      <c r="D45" s="144"/>
      <c r="E45" s="41">
        <f t="shared" si="10"/>
        <v>0</v>
      </c>
      <c r="F45" s="146"/>
      <c r="G45" s="2">
        <f t="shared" si="11"/>
        <v>2</v>
      </c>
      <c r="H45" s="59"/>
      <c r="I45" s="77"/>
      <c r="J45" s="77"/>
      <c r="K45" s="77"/>
      <c r="L45" s="77">
        <v>2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2">
        <f t="shared" si="7"/>
        <v>2</v>
      </c>
      <c r="X45" s="147"/>
      <c r="Y45" s="148" t="e">
        <f>(H45*#REF!+'EESSAF-ODH 4-22-15'!I45*#REF!+'EESSAF-ODH 4-22-15'!J45*#REF!+'EESSAF-ODH 4-22-15'!K45*#REF!+'EESSAF-ODH 4-22-15'!L45*#REF!+'EESSAF-ODH 4-22-15'!M45*#REF!+'EESSAF-ODH 4-22-15'!N45*#REF!+'EESSAF-ODH 4-22-15'!O45*#REF!+'EESSAF-ODH 4-22-15'!P45*#REF!+'EESSAF-ODH 4-22-15'!Q45*#REF!+'EESSAF-ODH 4-22-15'!R45*#REF!+S45*#REF!+'EESSAF-ODH 4-22-15'!T45*#REF!+'EESSAF-ODH 4-22-15'!U45*#REF!)*1000/40</f>
        <v>#REF!</v>
      </c>
      <c r="Z45" s="120"/>
      <c r="AA45" s="120"/>
      <c r="AB45" s="120"/>
      <c r="AC45" s="120"/>
      <c r="AD45" s="120">
        <f t="shared" si="8"/>
        <v>0</v>
      </c>
      <c r="AE45" s="150"/>
      <c r="AF45" s="40" t="str">
        <f t="shared" si="12"/>
        <v>Change Control/ Design Review Process</v>
      </c>
    </row>
    <row r="46" spans="1:32" ht="17.25">
      <c r="A46" s="59">
        <f t="shared" si="9"/>
        <v>3</v>
      </c>
      <c r="B46" s="151" t="s">
        <v>16</v>
      </c>
      <c r="C46" s="143"/>
      <c r="D46" s="144"/>
      <c r="E46" s="41">
        <f t="shared" si="10"/>
        <v>0</v>
      </c>
      <c r="F46" s="146"/>
      <c r="G46" s="2">
        <f>SUM(H46:U46)</f>
        <v>32</v>
      </c>
      <c r="H46" s="59"/>
      <c r="I46" s="77"/>
      <c r="J46" s="77"/>
      <c r="K46" s="77"/>
      <c r="L46" s="77">
        <v>8</v>
      </c>
      <c r="M46" s="77"/>
      <c r="N46" s="77"/>
      <c r="O46" s="77"/>
      <c r="P46" s="77">
        <v>16</v>
      </c>
      <c r="Q46" s="77"/>
      <c r="R46" s="77">
        <v>8</v>
      </c>
      <c r="S46" s="77"/>
      <c r="T46" s="77"/>
      <c r="U46" s="77"/>
      <c r="V46" s="77"/>
      <c r="W46" s="2">
        <f>SUM(H46:V46)</f>
        <v>32</v>
      </c>
      <c r="X46" s="147"/>
      <c r="Y46" s="148" t="e">
        <f>(H46*#REF!+'EESSAF-ODH 4-22-15'!I46*#REF!+'EESSAF-ODH 4-22-15'!J46*#REF!+'EESSAF-ODH 4-22-15'!K46*#REF!+'EESSAF-ODH 4-22-15'!L46*#REF!+'EESSAF-ODH 4-22-15'!M46*#REF!+'EESSAF-ODH 4-22-15'!N46*#REF!+'EESSAF-ODH 4-22-15'!O46*#REF!+'EESSAF-ODH 4-22-15'!P46*#REF!+'EESSAF-ODH 4-22-15'!Q46*#REF!+'EESSAF-ODH 4-22-15'!R46*#REF!+S46*#REF!+'EESSAF-ODH 4-22-15'!T46*#REF!+'EESSAF-ODH 4-22-15'!U46*#REF!)*1000/40</f>
        <v>#REF!</v>
      </c>
      <c r="Z46" s="120"/>
      <c r="AA46" s="120"/>
      <c r="AB46" s="120"/>
      <c r="AC46" s="120"/>
      <c r="AD46" s="120">
        <f>SUM(Z46:AC46)</f>
        <v>0</v>
      </c>
      <c r="AE46" s="150"/>
      <c r="AF46" s="40" t="str">
        <f t="shared" si="12"/>
        <v>Develop drawings</v>
      </c>
    </row>
    <row r="47" spans="1:32" ht="17.25">
      <c r="A47" s="59">
        <f t="shared" si="9"/>
        <v>4</v>
      </c>
      <c r="B47" s="152" t="s">
        <v>17</v>
      </c>
      <c r="C47" s="143"/>
      <c r="D47" s="144"/>
      <c r="E47" s="41">
        <f t="shared" si="10"/>
        <v>0</v>
      </c>
      <c r="F47" s="146"/>
      <c r="G47" s="2">
        <f t="shared" si="11"/>
        <v>8</v>
      </c>
      <c r="H47" s="59"/>
      <c r="I47" s="77"/>
      <c r="J47" s="77"/>
      <c r="K47" s="77"/>
      <c r="L47" s="77">
        <v>8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2">
        <f t="shared" si="7"/>
        <v>8</v>
      </c>
      <c r="X47" s="147"/>
      <c r="Y47" s="148" t="e">
        <f>(H47*#REF!+'EESSAF-ODH 4-22-15'!I47*#REF!+'EESSAF-ODH 4-22-15'!J47*#REF!+'EESSAF-ODH 4-22-15'!K47*#REF!+'EESSAF-ODH 4-22-15'!L47*#REF!+'EESSAF-ODH 4-22-15'!M47*#REF!+'EESSAF-ODH 4-22-15'!N47*#REF!+'EESSAF-ODH 4-22-15'!O47*#REF!+'EESSAF-ODH 4-22-15'!P47*#REF!+'EESSAF-ODH 4-22-15'!Q47*#REF!+'EESSAF-ODH 4-22-15'!R47*#REF!+S47*#REF!+'EESSAF-ODH 4-22-15'!T47*#REF!+'EESSAF-ODH 4-22-15'!U47*#REF!)*1000/40</f>
        <v>#REF!</v>
      </c>
      <c r="Z47" s="120">
        <v>6665.5</v>
      </c>
      <c r="AA47" s="120"/>
      <c r="AB47" s="120"/>
      <c r="AC47" s="120"/>
      <c r="AD47" s="120">
        <f aca="true" t="shared" si="13" ref="AD47:AD50">SUM(Z47:AC47)</f>
        <v>6665.5</v>
      </c>
      <c r="AE47" s="150"/>
      <c r="AF47" s="40" t="str">
        <f t="shared" si="12"/>
        <v>Specify Components</v>
      </c>
    </row>
    <row r="48" spans="1:32" ht="17.25">
      <c r="A48" s="59">
        <f t="shared" si="9"/>
        <v>5</v>
      </c>
      <c r="B48" s="152" t="s">
        <v>18</v>
      </c>
      <c r="C48" s="143"/>
      <c r="D48" s="144"/>
      <c r="E48" s="41">
        <f t="shared" si="10"/>
        <v>0</v>
      </c>
      <c r="F48" s="146"/>
      <c r="G48" s="2">
        <f t="shared" si="11"/>
        <v>16</v>
      </c>
      <c r="H48" s="59"/>
      <c r="I48" s="77"/>
      <c r="J48" s="77"/>
      <c r="K48" s="77"/>
      <c r="L48" s="77">
        <v>8</v>
      </c>
      <c r="M48" s="77"/>
      <c r="N48" s="77"/>
      <c r="O48" s="77"/>
      <c r="P48" s="77"/>
      <c r="Q48" s="77"/>
      <c r="R48" s="77">
        <v>8</v>
      </c>
      <c r="S48" s="77"/>
      <c r="T48" s="77"/>
      <c r="U48" s="77"/>
      <c r="V48" s="77"/>
      <c r="W48" s="2">
        <f t="shared" si="7"/>
        <v>16</v>
      </c>
      <c r="X48" s="147"/>
      <c r="Y48" s="148" t="e">
        <f>(H48*#REF!+'EESSAF-ODH 4-22-15'!I48*#REF!+'EESSAF-ODH 4-22-15'!J48*#REF!+'EESSAF-ODH 4-22-15'!K48*#REF!+'EESSAF-ODH 4-22-15'!L48*#REF!+'EESSAF-ODH 4-22-15'!M48*#REF!+'EESSAF-ODH 4-22-15'!N48*#REF!+'EESSAF-ODH 4-22-15'!O48*#REF!+'EESSAF-ODH 4-22-15'!P48*#REF!+'EESSAF-ODH 4-22-15'!Q48*#REF!+'EESSAF-ODH 4-22-15'!R48*#REF!+S48*#REF!+'EESSAF-ODH 4-22-15'!T48*#REF!+'EESSAF-ODH 4-22-15'!U48*#REF!)*1000/40</f>
        <v>#REF!</v>
      </c>
      <c r="Z48" s="120"/>
      <c r="AA48" s="120"/>
      <c r="AB48" s="120"/>
      <c r="AC48" s="120"/>
      <c r="AD48" s="120">
        <f t="shared" si="13"/>
        <v>0</v>
      </c>
      <c r="AE48" s="150"/>
      <c r="AF48" s="40" t="str">
        <f t="shared" si="12"/>
        <v>Process procurements</v>
      </c>
    </row>
    <row r="49" spans="1:32" ht="17.25">
      <c r="A49" s="59">
        <f t="shared" si="9"/>
        <v>6</v>
      </c>
      <c r="B49" s="151" t="s">
        <v>19</v>
      </c>
      <c r="C49" s="143"/>
      <c r="D49" s="144"/>
      <c r="E49" s="41">
        <f t="shared" si="10"/>
        <v>0</v>
      </c>
      <c r="F49" s="146"/>
      <c r="G49" s="2">
        <f t="shared" si="11"/>
        <v>12</v>
      </c>
      <c r="H49" s="59"/>
      <c r="I49" s="77"/>
      <c r="J49" s="77"/>
      <c r="K49" s="77"/>
      <c r="L49" s="77">
        <v>8</v>
      </c>
      <c r="M49" s="77"/>
      <c r="N49" s="77"/>
      <c r="O49" s="77"/>
      <c r="P49" s="77"/>
      <c r="Q49" s="77"/>
      <c r="R49" s="77">
        <v>4</v>
      </c>
      <c r="S49" s="77"/>
      <c r="T49" s="77"/>
      <c r="U49" s="77"/>
      <c r="V49" s="77"/>
      <c r="W49" s="2">
        <f t="shared" si="7"/>
        <v>12</v>
      </c>
      <c r="X49" s="147"/>
      <c r="Y49" s="148" t="e">
        <f>(H49*#REF!+'EESSAF-ODH 4-22-15'!I49*#REF!+'EESSAF-ODH 4-22-15'!J49*#REF!+'EESSAF-ODH 4-22-15'!K49*#REF!+'EESSAF-ODH 4-22-15'!L49*#REF!+'EESSAF-ODH 4-22-15'!M49*#REF!+'EESSAF-ODH 4-22-15'!N49*#REF!+'EESSAF-ODH 4-22-15'!O49*#REF!+'EESSAF-ODH 4-22-15'!P49*#REF!+'EESSAF-ODH 4-22-15'!Q49*#REF!+'EESSAF-ODH 4-22-15'!R49*#REF!+S49*#REF!+'EESSAF-ODH 4-22-15'!T49*#REF!+'EESSAF-ODH 4-22-15'!U49*#REF!)*1000/40</f>
        <v>#REF!</v>
      </c>
      <c r="Z49" s="120"/>
      <c r="AA49" s="120"/>
      <c r="AB49" s="120"/>
      <c r="AC49" s="120"/>
      <c r="AD49" s="120">
        <f t="shared" si="13"/>
        <v>0</v>
      </c>
      <c r="AE49" s="150"/>
      <c r="AF49" s="40" t="str">
        <f t="shared" si="12"/>
        <v>Develop workplan / hazard analysis</v>
      </c>
    </row>
    <row r="50" spans="1:32" ht="17.25">
      <c r="A50" s="59">
        <f t="shared" si="9"/>
        <v>7</v>
      </c>
      <c r="B50" s="151" t="s">
        <v>20</v>
      </c>
      <c r="C50" s="143"/>
      <c r="D50" s="144"/>
      <c r="E50" s="41">
        <f t="shared" si="10"/>
        <v>0</v>
      </c>
      <c r="F50" s="146"/>
      <c r="G50" s="2">
        <f t="shared" si="11"/>
        <v>0</v>
      </c>
      <c r="H50" s="59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2">
        <f t="shared" si="7"/>
        <v>0</v>
      </c>
      <c r="X50" s="147"/>
      <c r="Y50" s="148" t="e">
        <f>(H50*#REF!+'EESSAF-ODH 4-22-15'!I50*#REF!+'EESSAF-ODH 4-22-15'!J50*#REF!+'EESSAF-ODH 4-22-15'!K50*#REF!+'EESSAF-ODH 4-22-15'!L50*#REF!+'EESSAF-ODH 4-22-15'!M50*#REF!+'EESSAF-ODH 4-22-15'!N50*#REF!+'EESSAF-ODH 4-22-15'!O50*#REF!+'EESSAF-ODH 4-22-15'!P50*#REF!+'EESSAF-ODH 4-22-15'!Q50*#REF!+'EESSAF-ODH 4-22-15'!R50*#REF!+S50*#REF!+'EESSAF-ODH 4-22-15'!T50*#REF!+'EESSAF-ODH 4-22-15'!U50*#REF!)*1000/40</f>
        <v>#REF!</v>
      </c>
      <c r="Z50" s="120"/>
      <c r="AA50" s="120"/>
      <c r="AB50" s="120"/>
      <c r="AC50" s="120"/>
      <c r="AD50" s="120">
        <f t="shared" si="13"/>
        <v>0</v>
      </c>
      <c r="AE50" s="150"/>
      <c r="AF50" s="40" t="str">
        <f t="shared" si="12"/>
        <v>Remove existing hardware (if required)</v>
      </c>
    </row>
    <row r="51" spans="1:32" ht="17.25">
      <c r="A51" s="59">
        <f t="shared" si="9"/>
        <v>8</v>
      </c>
      <c r="B51" s="151" t="s">
        <v>21</v>
      </c>
      <c r="C51" s="143"/>
      <c r="D51" s="144"/>
      <c r="E51" s="41">
        <f t="shared" si="10"/>
        <v>0</v>
      </c>
      <c r="F51" s="146"/>
      <c r="G51" s="2">
        <f t="shared" si="11"/>
        <v>80</v>
      </c>
      <c r="H51" s="59"/>
      <c r="I51" s="77"/>
      <c r="J51" s="77"/>
      <c r="K51" s="77"/>
      <c r="L51" s="77"/>
      <c r="M51" s="77"/>
      <c r="N51" s="77"/>
      <c r="O51" s="77"/>
      <c r="P51" s="77"/>
      <c r="Q51" s="77"/>
      <c r="R51" s="77">
        <v>40</v>
      </c>
      <c r="S51" s="77"/>
      <c r="T51" s="77">
        <v>40</v>
      </c>
      <c r="U51" s="77"/>
      <c r="V51" s="77"/>
      <c r="W51" s="2">
        <f t="shared" si="7"/>
        <v>80</v>
      </c>
      <c r="X51" s="147"/>
      <c r="Y51" s="148" t="e">
        <f>(H51*#REF!+'EESSAF-ODH 4-22-15'!I51*#REF!+'EESSAF-ODH 4-22-15'!J51*#REF!+'EESSAF-ODH 4-22-15'!K51*#REF!+'EESSAF-ODH 4-22-15'!L51*#REF!+'EESSAF-ODH 4-22-15'!M51*#REF!+'EESSAF-ODH 4-22-15'!N51*#REF!+'EESSAF-ODH 4-22-15'!O51*#REF!+'EESSAF-ODH 4-22-15'!P51*#REF!+'EESSAF-ODH 4-22-15'!Q51*#REF!+'EESSAF-ODH 4-22-15'!R51*#REF!+S51*#REF!+'EESSAF-ODH 4-22-15'!T51*#REF!+'EESSAF-ODH 4-22-15'!U51*#REF!)*1000/40</f>
        <v>#REF!</v>
      </c>
      <c r="Z51" s="120"/>
      <c r="AA51" s="120"/>
      <c r="AB51" s="120"/>
      <c r="AC51" s="120"/>
      <c r="AD51" s="120">
        <f t="shared" si="8"/>
        <v>0</v>
      </c>
      <c r="AE51" s="150"/>
      <c r="AF51" s="40" t="str">
        <f t="shared" si="12"/>
        <v>Install new hardware components</v>
      </c>
    </row>
    <row r="52" spans="1:32" ht="17.25">
      <c r="A52" s="59">
        <f t="shared" si="9"/>
        <v>9</v>
      </c>
      <c r="B52" s="151" t="s">
        <v>22</v>
      </c>
      <c r="C52" s="143"/>
      <c r="D52" s="144"/>
      <c r="E52" s="41">
        <f t="shared" si="10"/>
        <v>0</v>
      </c>
      <c r="F52" s="146"/>
      <c r="G52" s="2">
        <f t="shared" si="11"/>
        <v>0</v>
      </c>
      <c r="H52" s="59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2">
        <f t="shared" si="7"/>
        <v>0</v>
      </c>
      <c r="X52" s="147"/>
      <c r="Y52" s="148" t="e">
        <f>(H52*#REF!+'EESSAF-ODH 4-22-15'!I52*#REF!+'EESSAF-ODH 4-22-15'!J52*#REF!+'EESSAF-ODH 4-22-15'!K52*#REF!+'EESSAF-ODH 4-22-15'!L52*#REF!+'EESSAF-ODH 4-22-15'!M52*#REF!+'EESSAF-ODH 4-22-15'!N52*#REF!+'EESSAF-ODH 4-22-15'!O52*#REF!+'EESSAF-ODH 4-22-15'!P52*#REF!+'EESSAF-ODH 4-22-15'!Q52*#REF!+'EESSAF-ODH 4-22-15'!R52*#REF!+S52*#REF!+'EESSAF-ODH 4-22-15'!T52*#REF!+'EESSAF-ODH 4-22-15'!U52*#REF!)*1000/40</f>
        <v>#REF!</v>
      </c>
      <c r="Z52" s="120"/>
      <c r="AA52" s="120"/>
      <c r="AB52" s="120"/>
      <c r="AC52" s="120"/>
      <c r="AD52" s="120">
        <f t="shared" si="8"/>
        <v>0</v>
      </c>
      <c r="AE52" s="150"/>
      <c r="AF52" s="40" t="str">
        <f t="shared" si="12"/>
        <v>Install new network components</v>
      </c>
    </row>
    <row r="53" spans="1:32" ht="17.25">
      <c r="A53" s="59">
        <f t="shared" si="9"/>
        <v>10</v>
      </c>
      <c r="B53" s="153" t="s">
        <v>23</v>
      </c>
      <c r="C53" s="143"/>
      <c r="D53" s="144"/>
      <c r="E53" s="41">
        <f t="shared" si="10"/>
        <v>0</v>
      </c>
      <c r="F53" s="146"/>
      <c r="G53" s="2">
        <f t="shared" si="11"/>
        <v>56</v>
      </c>
      <c r="H53" s="59"/>
      <c r="I53" s="77"/>
      <c r="J53" s="77"/>
      <c r="K53" s="77"/>
      <c r="L53" s="77"/>
      <c r="M53" s="77"/>
      <c r="N53" s="77"/>
      <c r="O53" s="77"/>
      <c r="P53" s="77"/>
      <c r="Q53" s="77"/>
      <c r="R53" s="77">
        <v>40</v>
      </c>
      <c r="S53" s="77"/>
      <c r="T53" s="77">
        <v>16</v>
      </c>
      <c r="U53" s="77"/>
      <c r="V53" s="77"/>
      <c r="W53" s="2">
        <f t="shared" si="7"/>
        <v>56</v>
      </c>
      <c r="X53" s="147"/>
      <c r="Y53" s="148" t="e">
        <f>(H53*#REF!+'EESSAF-ODH 4-22-15'!I53*#REF!+'EESSAF-ODH 4-22-15'!J53*#REF!+'EESSAF-ODH 4-22-15'!K53*#REF!+'EESSAF-ODH 4-22-15'!L53*#REF!+'EESSAF-ODH 4-22-15'!M53*#REF!+'EESSAF-ODH 4-22-15'!N53*#REF!+'EESSAF-ODH 4-22-15'!O53*#REF!+'EESSAF-ODH 4-22-15'!P53*#REF!+'EESSAF-ODH 4-22-15'!Q53*#REF!+'EESSAF-ODH 4-22-15'!R53*#REF!+S53*#REF!+'EESSAF-ODH 4-22-15'!T53*#REF!+'EESSAF-ODH 4-22-15'!U53*#REF!)*1000/40</f>
        <v>#REF!</v>
      </c>
      <c r="Z53" s="120"/>
      <c r="AA53" s="120"/>
      <c r="AB53" s="120"/>
      <c r="AC53" s="120"/>
      <c r="AD53" s="120">
        <f t="shared" si="8"/>
        <v>0</v>
      </c>
      <c r="AE53" s="150"/>
      <c r="AF53" s="40" t="str">
        <f t="shared" si="12"/>
        <v>Cable/fiber installation</v>
      </c>
    </row>
    <row r="54" spans="1:32" ht="17.25">
      <c r="A54" s="59">
        <f t="shared" si="9"/>
        <v>11</v>
      </c>
      <c r="B54" s="151" t="s">
        <v>24</v>
      </c>
      <c r="C54" s="143"/>
      <c r="D54" s="144"/>
      <c r="E54" s="41">
        <f t="shared" si="10"/>
        <v>0</v>
      </c>
      <c r="F54" s="146"/>
      <c r="G54" s="2">
        <f t="shared" si="11"/>
        <v>120</v>
      </c>
      <c r="H54" s="59"/>
      <c r="I54" s="77"/>
      <c r="J54" s="77"/>
      <c r="K54" s="77"/>
      <c r="L54" s="77"/>
      <c r="M54" s="77"/>
      <c r="N54" s="77"/>
      <c r="O54" s="77"/>
      <c r="P54" s="77"/>
      <c r="Q54" s="77"/>
      <c r="R54" s="77">
        <v>40</v>
      </c>
      <c r="S54" s="77"/>
      <c r="T54" s="77">
        <v>80</v>
      </c>
      <c r="U54" s="77"/>
      <c r="V54" s="77"/>
      <c r="W54" s="2">
        <f t="shared" si="7"/>
        <v>120</v>
      </c>
      <c r="X54" s="147"/>
      <c r="Y54" s="148" t="e">
        <f>(H54*#REF!+'EESSAF-ODH 4-22-15'!I54*#REF!+'EESSAF-ODH 4-22-15'!J54*#REF!+'EESSAF-ODH 4-22-15'!K54*#REF!+'EESSAF-ODH 4-22-15'!L54*#REF!+'EESSAF-ODH 4-22-15'!M54*#REF!+'EESSAF-ODH 4-22-15'!N54*#REF!+'EESSAF-ODH 4-22-15'!O54*#REF!+'EESSAF-ODH 4-22-15'!P54*#REF!+'EESSAF-ODH 4-22-15'!Q54*#REF!+'EESSAF-ODH 4-22-15'!R54*#REF!+S54*#REF!+'EESSAF-ODH 4-22-15'!T54*#REF!+'EESSAF-ODH 4-22-15'!U54*#REF!)*1000/40</f>
        <v>#REF!</v>
      </c>
      <c r="Z54" s="120">
        <v>4001</v>
      </c>
      <c r="AA54" s="120"/>
      <c r="AB54" s="120"/>
      <c r="AC54" s="120"/>
      <c r="AD54" s="120">
        <f t="shared" si="8"/>
        <v>4001</v>
      </c>
      <c r="AE54" s="150"/>
      <c r="AF54" s="40" t="str">
        <f t="shared" si="12"/>
        <v>Conduit/tray installation</v>
      </c>
    </row>
    <row r="55" spans="1:32" ht="17.25">
      <c r="A55" s="59">
        <f t="shared" si="9"/>
        <v>12</v>
      </c>
      <c r="B55" s="151" t="s">
        <v>25</v>
      </c>
      <c r="C55" s="143"/>
      <c r="D55" s="144"/>
      <c r="E55" s="41">
        <f t="shared" si="10"/>
        <v>0</v>
      </c>
      <c r="F55" s="146"/>
      <c r="G55" s="2">
        <f t="shared" si="11"/>
        <v>0</v>
      </c>
      <c r="H55" s="59"/>
      <c r="I55" s="77"/>
      <c r="J55" s="77"/>
      <c r="K55" s="77"/>
      <c r="L55" s="77"/>
      <c r="M55" s="77"/>
      <c r="N55" s="77"/>
      <c r="O55" s="77"/>
      <c r="P55" s="77"/>
      <c r="Q55" s="77"/>
      <c r="R55" s="77">
        <v>0</v>
      </c>
      <c r="S55" s="77"/>
      <c r="T55" s="77"/>
      <c r="U55" s="77"/>
      <c r="V55" s="77"/>
      <c r="W55" s="2">
        <f t="shared" si="7"/>
        <v>0</v>
      </c>
      <c r="X55" s="147"/>
      <c r="Y55" s="148" t="e">
        <f>(H55*#REF!+'EESSAF-ODH 4-22-15'!I55*#REF!+'EESSAF-ODH 4-22-15'!J55*#REF!+'EESSAF-ODH 4-22-15'!K55*#REF!+'EESSAF-ODH 4-22-15'!L55*#REF!+'EESSAF-ODH 4-22-15'!M55*#REF!+'EESSAF-ODH 4-22-15'!N55*#REF!+'EESSAF-ODH 4-22-15'!O55*#REF!+'EESSAF-ODH 4-22-15'!P55*#REF!+'EESSAF-ODH 4-22-15'!Q55*#REF!+'EESSAF-ODH 4-22-15'!R55*#REF!+S55*#REF!+'EESSAF-ODH 4-22-15'!T55*#REF!+'EESSAF-ODH 4-22-15'!U55*#REF!)*1000/40</f>
        <v>#REF!</v>
      </c>
      <c r="Z55" s="120"/>
      <c r="AA55" s="120"/>
      <c r="AB55" s="120"/>
      <c r="AC55" s="120"/>
      <c r="AD55" s="120">
        <f t="shared" si="8"/>
        <v>0</v>
      </c>
      <c r="AE55" s="150"/>
      <c r="AF55" s="40" t="str">
        <f t="shared" si="12"/>
        <v>Fabricate new chassis/interfaces/PCBs</v>
      </c>
    </row>
    <row r="56" spans="1:32" ht="17.25">
      <c r="A56" s="59">
        <f t="shared" si="9"/>
        <v>13</v>
      </c>
      <c r="B56" s="151" t="s">
        <v>26</v>
      </c>
      <c r="C56" s="143"/>
      <c r="D56" s="144"/>
      <c r="E56" s="41">
        <f t="shared" si="10"/>
        <v>0</v>
      </c>
      <c r="F56" s="146"/>
      <c r="G56" s="2">
        <f t="shared" si="11"/>
        <v>80</v>
      </c>
      <c r="H56" s="59"/>
      <c r="I56" s="77"/>
      <c r="J56" s="77"/>
      <c r="K56" s="77"/>
      <c r="L56" s="77"/>
      <c r="M56" s="77"/>
      <c r="N56" s="77"/>
      <c r="O56" s="77"/>
      <c r="P56" s="77"/>
      <c r="Q56" s="77"/>
      <c r="R56" s="77">
        <v>40</v>
      </c>
      <c r="S56" s="77"/>
      <c r="T56" s="77">
        <v>40</v>
      </c>
      <c r="U56" s="77"/>
      <c r="V56" s="77"/>
      <c r="W56" s="2">
        <f t="shared" si="7"/>
        <v>80</v>
      </c>
      <c r="X56" s="147"/>
      <c r="Y56" s="148" t="e">
        <f>(H56*#REF!+'EESSAF-ODH 4-22-15'!I56*#REF!+'EESSAF-ODH 4-22-15'!J56*#REF!+'EESSAF-ODH 4-22-15'!K56*#REF!+'EESSAF-ODH 4-22-15'!L56*#REF!+'EESSAF-ODH 4-22-15'!M56*#REF!+'EESSAF-ODH 4-22-15'!N56*#REF!+'EESSAF-ODH 4-22-15'!O56*#REF!+'EESSAF-ODH 4-22-15'!P56*#REF!+'EESSAF-ODH 4-22-15'!Q56*#REF!+'EESSAF-ODH 4-22-15'!R56*#REF!+S56*#REF!+'EESSAF-ODH 4-22-15'!T56*#REF!+'EESSAF-ODH 4-22-15'!U56*#REF!)*1000/40</f>
        <v>#REF!</v>
      </c>
      <c r="Z56" s="120"/>
      <c r="AA56" s="120"/>
      <c r="AB56" s="120"/>
      <c r="AC56" s="120"/>
      <c r="AD56" s="120">
        <f t="shared" si="8"/>
        <v>0</v>
      </c>
      <c r="AE56" s="150"/>
      <c r="AF56" s="40" t="str">
        <f t="shared" si="12"/>
        <v>Rack installation / wiring</v>
      </c>
    </row>
    <row r="57" spans="1:32" ht="17.25">
      <c r="A57" s="59">
        <f t="shared" si="9"/>
        <v>14</v>
      </c>
      <c r="B57" s="151" t="s">
        <v>27</v>
      </c>
      <c r="C57" s="143"/>
      <c r="D57" s="144"/>
      <c r="E57" s="41">
        <f t="shared" si="10"/>
        <v>0</v>
      </c>
      <c r="F57" s="146"/>
      <c r="G57" s="2">
        <f t="shared" si="11"/>
        <v>40</v>
      </c>
      <c r="H57" s="59"/>
      <c r="I57" s="77"/>
      <c r="J57" s="77"/>
      <c r="K57" s="77"/>
      <c r="L57" s="77">
        <v>8</v>
      </c>
      <c r="M57" s="77"/>
      <c r="N57" s="77"/>
      <c r="O57" s="77"/>
      <c r="P57" s="77"/>
      <c r="Q57" s="77"/>
      <c r="R57" s="77">
        <v>32</v>
      </c>
      <c r="S57" s="77"/>
      <c r="T57" s="77"/>
      <c r="U57" s="77"/>
      <c r="V57" s="77"/>
      <c r="W57" s="2">
        <f t="shared" si="7"/>
        <v>40</v>
      </c>
      <c r="X57" s="147"/>
      <c r="Y57" s="148" t="e">
        <f>(H57*#REF!+'EESSAF-ODH 4-22-15'!I57*#REF!+'EESSAF-ODH 4-22-15'!J57*#REF!+'EESSAF-ODH 4-22-15'!K57*#REF!+'EESSAF-ODH 4-22-15'!L57*#REF!+'EESSAF-ODH 4-22-15'!M57*#REF!+'EESSAF-ODH 4-22-15'!N57*#REF!+'EESSAF-ODH 4-22-15'!O57*#REF!+'EESSAF-ODH 4-22-15'!P57*#REF!+'EESSAF-ODH 4-22-15'!Q57*#REF!+'EESSAF-ODH 4-22-15'!R57*#REF!+S57*#REF!+'EESSAF-ODH 4-22-15'!T57*#REF!+'EESSAF-ODH 4-22-15'!U57*#REF!)*1000/40</f>
        <v>#REF!</v>
      </c>
      <c r="Z57" s="120"/>
      <c r="AA57" s="120"/>
      <c r="AB57" s="120"/>
      <c r="AC57" s="120"/>
      <c r="AD57" s="120">
        <f t="shared" si="8"/>
        <v>0</v>
      </c>
      <c r="AE57" s="150"/>
      <c r="AF57" s="40" t="str">
        <f t="shared" si="12"/>
        <v>Test integrity/continuity/QA</v>
      </c>
    </row>
    <row r="58" spans="1:32" ht="17.25">
      <c r="A58" s="59">
        <f t="shared" si="9"/>
        <v>15</v>
      </c>
      <c r="B58" s="151" t="s">
        <v>28</v>
      </c>
      <c r="C58" s="143"/>
      <c r="D58" s="144"/>
      <c r="E58" s="41">
        <f t="shared" si="10"/>
        <v>0</v>
      </c>
      <c r="F58" s="146"/>
      <c r="G58" s="2">
        <f t="shared" si="11"/>
        <v>0</v>
      </c>
      <c r="H58" s="59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2">
        <f t="shared" si="7"/>
        <v>0</v>
      </c>
      <c r="X58" s="147"/>
      <c r="Y58" s="148" t="e">
        <f>(H58*#REF!+'EESSAF-ODH 4-22-15'!I58*#REF!+'EESSAF-ODH 4-22-15'!J58*#REF!+'EESSAF-ODH 4-22-15'!K58*#REF!+'EESSAF-ODH 4-22-15'!L58*#REF!+'EESSAF-ODH 4-22-15'!M58*#REF!+'EESSAF-ODH 4-22-15'!N58*#REF!+'EESSAF-ODH 4-22-15'!O58*#REF!+'EESSAF-ODH 4-22-15'!P58*#REF!+'EESSAF-ODH 4-22-15'!Q58*#REF!+'EESSAF-ODH 4-22-15'!R58*#REF!+S58*#REF!+'EESSAF-ODH 4-22-15'!T58*#REF!+'EESSAF-ODH 4-22-15'!U58*#REF!)*1000/40</f>
        <v>#REF!</v>
      </c>
      <c r="Z58" s="120"/>
      <c r="AA58" s="120"/>
      <c r="AB58" s="120"/>
      <c r="AC58" s="120"/>
      <c r="AD58" s="120">
        <f t="shared" si="8"/>
        <v>0</v>
      </c>
      <c r="AE58" s="150"/>
      <c r="AF58" s="40" t="str">
        <f t="shared" si="12"/>
        <v>Develop logic spec</v>
      </c>
    </row>
    <row r="59" spans="1:32" ht="17.25">
      <c r="A59" s="59">
        <f t="shared" si="9"/>
        <v>16</v>
      </c>
      <c r="B59" s="151" t="s">
        <v>29</v>
      </c>
      <c r="C59" s="143"/>
      <c r="D59" s="144"/>
      <c r="E59" s="41">
        <f t="shared" si="10"/>
        <v>0</v>
      </c>
      <c r="F59" s="146"/>
      <c r="G59" s="2">
        <f t="shared" si="11"/>
        <v>0</v>
      </c>
      <c r="H59" s="59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2">
        <f t="shared" si="7"/>
        <v>0</v>
      </c>
      <c r="X59" s="147"/>
      <c r="Y59" s="148" t="e">
        <f>(H59*#REF!+'EESSAF-ODH 4-22-15'!I59*#REF!+'EESSAF-ODH 4-22-15'!J59*#REF!+'EESSAF-ODH 4-22-15'!K59*#REF!+'EESSAF-ODH 4-22-15'!L59*#REF!+'EESSAF-ODH 4-22-15'!M59*#REF!+'EESSAF-ODH 4-22-15'!N59*#REF!+'EESSAF-ODH 4-22-15'!O59*#REF!+'EESSAF-ODH 4-22-15'!P59*#REF!+'EESSAF-ODH 4-22-15'!Q59*#REF!+'EESSAF-ODH 4-22-15'!R59*#REF!+S59*#REF!+'EESSAF-ODH 4-22-15'!T59*#REF!+'EESSAF-ODH 4-22-15'!U59*#REF!)*1000/40</f>
        <v>#REF!</v>
      </c>
      <c r="Z59" s="120"/>
      <c r="AA59" s="120"/>
      <c r="AB59" s="120"/>
      <c r="AC59" s="120"/>
      <c r="AD59" s="120">
        <f t="shared" si="8"/>
        <v>0</v>
      </c>
      <c r="AE59" s="150"/>
      <c r="AF59" s="40" t="str">
        <f t="shared" si="12"/>
        <v>Develop logic</v>
      </c>
    </row>
    <row r="60" spans="1:32" ht="15">
      <c r="A60" s="59">
        <f t="shared" si="9"/>
        <v>17</v>
      </c>
      <c r="B60" s="151" t="s">
        <v>30</v>
      </c>
      <c r="C60" s="144"/>
      <c r="D60" s="144"/>
      <c r="E60" s="41">
        <f t="shared" si="10"/>
        <v>0</v>
      </c>
      <c r="F60" s="146"/>
      <c r="G60" s="2">
        <f t="shared" si="11"/>
        <v>10</v>
      </c>
      <c r="H60" s="59"/>
      <c r="I60" s="77"/>
      <c r="J60" s="77"/>
      <c r="K60" s="77"/>
      <c r="L60" s="77">
        <v>10</v>
      </c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2">
        <f t="shared" si="7"/>
        <v>10</v>
      </c>
      <c r="X60" s="147"/>
      <c r="Y60" s="148" t="e">
        <f>(H60*#REF!+'EESSAF-ODH 4-22-15'!I60*#REF!+'EESSAF-ODH 4-22-15'!J60*#REF!+'EESSAF-ODH 4-22-15'!K60*#REF!+'EESSAF-ODH 4-22-15'!L60*#REF!+'EESSAF-ODH 4-22-15'!M60*#REF!+'EESSAF-ODH 4-22-15'!N60*#REF!+'EESSAF-ODH 4-22-15'!O60*#REF!+'EESSAF-ODH 4-22-15'!P60*#REF!+'EESSAF-ODH 4-22-15'!Q60*#REF!+'EESSAF-ODH 4-22-15'!R60*#REF!+S60*#REF!+'EESSAF-ODH 4-22-15'!T60*#REF!+'EESSAF-ODH 4-22-15'!U60*#REF!)*1000/40</f>
        <v>#REF!</v>
      </c>
      <c r="Z60" s="120"/>
      <c r="AA60" s="120"/>
      <c r="AB60" s="120"/>
      <c r="AC60" s="120"/>
      <c r="AD60" s="120">
        <v>0</v>
      </c>
      <c r="AE60" s="150"/>
      <c r="AF60" s="40" t="str">
        <f t="shared" si="12"/>
        <v xml:space="preserve">Develop test procedures </v>
      </c>
    </row>
    <row r="61" spans="1:32" ht="15">
      <c r="A61" s="59">
        <f t="shared" si="9"/>
        <v>18</v>
      </c>
      <c r="B61" s="151" t="s">
        <v>31</v>
      </c>
      <c r="C61" s="144"/>
      <c r="D61" s="144"/>
      <c r="E61" s="41">
        <f t="shared" si="10"/>
        <v>0</v>
      </c>
      <c r="F61" s="146"/>
      <c r="G61" s="2">
        <f t="shared" si="11"/>
        <v>16</v>
      </c>
      <c r="H61" s="59"/>
      <c r="I61" s="77"/>
      <c r="J61" s="77"/>
      <c r="K61" s="77"/>
      <c r="L61" s="77"/>
      <c r="M61" s="77"/>
      <c r="N61" s="77"/>
      <c r="O61" s="77"/>
      <c r="P61" s="77"/>
      <c r="Q61" s="77"/>
      <c r="R61" s="77">
        <v>16</v>
      </c>
      <c r="S61" s="77"/>
      <c r="T61" s="77"/>
      <c r="U61" s="77"/>
      <c r="V61" s="77"/>
      <c r="W61" s="2">
        <f t="shared" si="7"/>
        <v>16</v>
      </c>
      <c r="X61" s="147"/>
      <c r="Y61" s="148" t="e">
        <f>(H61*#REF!+'EESSAF-ODH 4-22-15'!I61*#REF!+'EESSAF-ODH 4-22-15'!J61*#REF!+'EESSAF-ODH 4-22-15'!K61*#REF!+'EESSAF-ODH 4-22-15'!L61*#REF!+'EESSAF-ODH 4-22-15'!M61*#REF!+'EESSAF-ODH 4-22-15'!N61*#REF!+'EESSAF-ODH 4-22-15'!O61*#REF!+'EESSAF-ODH 4-22-15'!P61*#REF!+'EESSAF-ODH 4-22-15'!Q61*#REF!+'EESSAF-ODH 4-22-15'!R61*#REF!+S61*#REF!+'EESSAF-ODH 4-22-15'!T61*#REF!+'EESSAF-ODH 4-22-15'!U61*#REF!)*1000/40</f>
        <v>#REF!</v>
      </c>
      <c r="Z61" s="120"/>
      <c r="AA61" s="120"/>
      <c r="AB61" s="120"/>
      <c r="AC61" s="120"/>
      <c r="AD61" s="120">
        <f t="shared" si="8"/>
        <v>0</v>
      </c>
      <c r="AE61" s="150"/>
      <c r="AF61" s="40" t="str">
        <f t="shared" si="12"/>
        <v>Develop HMI</v>
      </c>
    </row>
    <row r="62" spans="1:32" ht="15">
      <c r="A62" s="59">
        <f t="shared" si="9"/>
        <v>19</v>
      </c>
      <c r="B62" s="151" t="s">
        <v>32</v>
      </c>
      <c r="C62" s="144"/>
      <c r="D62" s="144"/>
      <c r="E62" s="41">
        <f t="shared" si="10"/>
        <v>0</v>
      </c>
      <c r="F62" s="146"/>
      <c r="G62" s="2">
        <f t="shared" si="11"/>
        <v>8</v>
      </c>
      <c r="H62" s="59"/>
      <c r="I62" s="77"/>
      <c r="J62" s="77"/>
      <c r="K62" s="77"/>
      <c r="L62" s="77">
        <v>4</v>
      </c>
      <c r="M62" s="77"/>
      <c r="N62" s="77"/>
      <c r="O62" s="77"/>
      <c r="P62" s="77"/>
      <c r="Q62" s="77"/>
      <c r="R62" s="77">
        <v>4</v>
      </c>
      <c r="S62" s="77"/>
      <c r="T62" s="77"/>
      <c r="U62" s="77"/>
      <c r="V62" s="77"/>
      <c r="W62" s="2">
        <f t="shared" si="7"/>
        <v>8</v>
      </c>
      <c r="X62" s="147"/>
      <c r="Y62" s="148" t="e">
        <f>(H62*#REF!+'EESSAF-ODH 4-22-15'!I62*#REF!+'EESSAF-ODH 4-22-15'!J62*#REF!+'EESSAF-ODH 4-22-15'!K62*#REF!+'EESSAF-ODH 4-22-15'!L62*#REF!+'EESSAF-ODH 4-22-15'!M62*#REF!+'EESSAF-ODH 4-22-15'!N62*#REF!+'EESSAF-ODH 4-22-15'!O62*#REF!+'EESSAF-ODH 4-22-15'!P62*#REF!+'EESSAF-ODH 4-22-15'!Q62*#REF!+'EESSAF-ODH 4-22-15'!R62*#REF!+S62*#REF!+'EESSAF-ODH 4-22-15'!T62*#REF!+'EESSAF-ODH 4-22-15'!U62*#REF!)*1000/40</f>
        <v>#REF!</v>
      </c>
      <c r="Z62" s="120"/>
      <c r="AA62" s="120"/>
      <c r="AB62" s="120"/>
      <c r="AC62" s="120"/>
      <c r="AD62" s="120">
        <f t="shared" si="8"/>
        <v>0</v>
      </c>
      <c r="AE62" s="150"/>
      <c r="AF62" s="40" t="str">
        <f t="shared" si="12"/>
        <v>System test</v>
      </c>
    </row>
    <row r="63" spans="1:32" ht="15">
      <c r="A63" s="59">
        <f t="shared" si="9"/>
        <v>20</v>
      </c>
      <c r="B63" s="151" t="s">
        <v>33</v>
      </c>
      <c r="C63" s="144"/>
      <c r="D63" s="144"/>
      <c r="E63" s="41">
        <f t="shared" si="10"/>
        <v>0</v>
      </c>
      <c r="F63" s="146"/>
      <c r="G63" s="2">
        <f t="shared" si="11"/>
        <v>0</v>
      </c>
      <c r="H63" s="59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2">
        <f t="shared" si="7"/>
        <v>0</v>
      </c>
      <c r="X63" s="147"/>
      <c r="Y63" s="148" t="e">
        <f>(H63*#REF!+'EESSAF-ODH 4-22-15'!I63*#REF!+'EESSAF-ODH 4-22-15'!J63*#REF!+'EESSAF-ODH 4-22-15'!K63*#REF!+'EESSAF-ODH 4-22-15'!L63*#REF!+'EESSAF-ODH 4-22-15'!M63*#REF!+'EESSAF-ODH 4-22-15'!N63*#REF!+'EESSAF-ODH 4-22-15'!O63*#REF!+'EESSAF-ODH 4-22-15'!P63*#REF!+'EESSAF-ODH 4-22-15'!Q63*#REF!+'EESSAF-ODH 4-22-15'!R63*#REF!+S63*#REF!+'EESSAF-ODH 4-22-15'!T63*#REF!+'EESSAF-ODH 4-22-15'!U63*#REF!)*1000/40</f>
        <v>#REF!</v>
      </c>
      <c r="Z63" s="120"/>
      <c r="AA63" s="120"/>
      <c r="AB63" s="120"/>
      <c r="AC63" s="120"/>
      <c r="AD63" s="120">
        <f t="shared" si="8"/>
        <v>0</v>
      </c>
      <c r="AE63" s="150"/>
      <c r="AF63" s="40" t="str">
        <f t="shared" si="12"/>
        <v>System Certification</v>
      </c>
    </row>
    <row r="64" spans="1:32" ht="15">
      <c r="A64" s="59">
        <f t="shared" si="9"/>
        <v>21</v>
      </c>
      <c r="B64" s="153" t="s">
        <v>34</v>
      </c>
      <c r="C64" s="144"/>
      <c r="D64" s="144"/>
      <c r="E64" s="41">
        <f t="shared" si="10"/>
        <v>0</v>
      </c>
      <c r="F64" s="146"/>
      <c r="G64" s="2">
        <f t="shared" si="11"/>
        <v>16</v>
      </c>
      <c r="H64" s="59"/>
      <c r="I64" s="77"/>
      <c r="J64" s="77"/>
      <c r="K64" s="77"/>
      <c r="L64" s="77"/>
      <c r="M64" s="77"/>
      <c r="N64" s="77"/>
      <c r="O64" s="77"/>
      <c r="P64" s="77">
        <v>16</v>
      </c>
      <c r="Q64" s="77"/>
      <c r="R64" s="77"/>
      <c r="S64" s="77"/>
      <c r="T64" s="77"/>
      <c r="U64" s="77"/>
      <c r="V64" s="77"/>
      <c r="W64" s="2">
        <f t="shared" si="7"/>
        <v>16</v>
      </c>
      <c r="X64" s="147"/>
      <c r="Y64" s="148" t="e">
        <f>(H64*#REF!+'EESSAF-ODH 4-22-15'!I64*#REF!+'EESSAF-ODH 4-22-15'!J64*#REF!+'EESSAF-ODH 4-22-15'!K64*#REF!+'EESSAF-ODH 4-22-15'!L64*#REF!+'EESSAF-ODH 4-22-15'!M64*#REF!+'EESSAF-ODH 4-22-15'!N64*#REF!+'EESSAF-ODH 4-22-15'!O64*#REF!+'EESSAF-ODH 4-22-15'!P64*#REF!+'EESSAF-ODH 4-22-15'!Q64*#REF!+'EESSAF-ODH 4-22-15'!R64*#REF!+S64*#REF!+'EESSAF-ODH 4-22-15'!T64*#REF!+'EESSAF-ODH 4-22-15'!U64*#REF!)*1000/40</f>
        <v>#REF!</v>
      </c>
      <c r="Z64" s="120"/>
      <c r="AA64" s="120"/>
      <c r="AB64" s="120"/>
      <c r="AC64" s="120"/>
      <c r="AD64" s="120">
        <f t="shared" si="8"/>
        <v>0</v>
      </c>
      <c r="AE64" s="150"/>
      <c r="AF64" s="40" t="str">
        <f t="shared" si="12"/>
        <v>Final Documentation</v>
      </c>
    </row>
    <row r="65" spans="1:32" ht="15">
      <c r="A65" s="59">
        <f t="shared" si="9"/>
        <v>22</v>
      </c>
      <c r="B65" s="40" t="s">
        <v>35</v>
      </c>
      <c r="C65" s="144"/>
      <c r="D65" s="144"/>
      <c r="E65" s="41">
        <f t="shared" si="10"/>
        <v>0</v>
      </c>
      <c r="F65" s="146"/>
      <c r="G65" s="2">
        <f t="shared" si="11"/>
        <v>24</v>
      </c>
      <c r="H65" s="59"/>
      <c r="I65" s="77"/>
      <c r="J65" s="77"/>
      <c r="K65" s="77"/>
      <c r="L65" s="77">
        <v>24</v>
      </c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2">
        <f t="shared" si="7"/>
        <v>24</v>
      </c>
      <c r="X65" s="147"/>
      <c r="Y65" s="148" t="e">
        <f>(H65*#REF!+'EESSAF-ODH 4-22-15'!I65*#REF!+'EESSAF-ODH 4-22-15'!J65*#REF!+'EESSAF-ODH 4-22-15'!K65*#REF!+'EESSAF-ODH 4-22-15'!L65*#REF!+'EESSAF-ODH 4-22-15'!M65*#REF!+'EESSAF-ODH 4-22-15'!N65*#REF!+'EESSAF-ODH 4-22-15'!O65*#REF!+'EESSAF-ODH 4-22-15'!P65*#REF!+'EESSAF-ODH 4-22-15'!Q65*#REF!+'EESSAF-ODH 4-22-15'!R65*#REF!+S65*#REF!+'EESSAF-ODH 4-22-15'!T65*#REF!+'EESSAF-ODH 4-22-15'!U65*#REF!)*1000/40</f>
        <v>#REF!</v>
      </c>
      <c r="Z65" s="120"/>
      <c r="AA65" s="120"/>
      <c r="AB65" s="120"/>
      <c r="AC65" s="120"/>
      <c r="AD65" s="120">
        <f t="shared" si="8"/>
        <v>0</v>
      </c>
      <c r="AE65" s="150"/>
      <c r="AF65" s="40" t="str">
        <f t="shared" si="12"/>
        <v>Training</v>
      </c>
    </row>
    <row r="66" spans="1:32" ht="15">
      <c r="A66" s="59">
        <f t="shared" si="9"/>
        <v>23</v>
      </c>
      <c r="C66" s="144"/>
      <c r="D66" s="144"/>
      <c r="E66" s="41">
        <f t="shared" si="10"/>
        <v>0</v>
      </c>
      <c r="F66" s="146"/>
      <c r="G66" s="2">
        <f t="shared" si="11"/>
        <v>0</v>
      </c>
      <c r="H66" s="59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2">
        <f t="shared" si="7"/>
        <v>0</v>
      </c>
      <c r="X66" s="147"/>
      <c r="Y66" s="148" t="e">
        <f>(H66*#REF!+'EESSAF-ODH 4-22-15'!I66*#REF!+'EESSAF-ODH 4-22-15'!J66*#REF!+'EESSAF-ODH 4-22-15'!K66*#REF!+'EESSAF-ODH 4-22-15'!L66*#REF!+'EESSAF-ODH 4-22-15'!M66*#REF!+'EESSAF-ODH 4-22-15'!N66*#REF!+'EESSAF-ODH 4-22-15'!O66*#REF!+'EESSAF-ODH 4-22-15'!P66*#REF!+'EESSAF-ODH 4-22-15'!Q66*#REF!+'EESSAF-ODH 4-22-15'!R66*#REF!+S66*#REF!+'EESSAF-ODH 4-22-15'!T66*#REF!+'EESSAF-ODH 4-22-15'!U66*#REF!)*1000/40</f>
        <v>#REF!</v>
      </c>
      <c r="Z66" s="120"/>
      <c r="AA66" s="120"/>
      <c r="AB66" s="120"/>
      <c r="AC66" s="120"/>
      <c r="AD66" s="120">
        <f t="shared" si="8"/>
        <v>0</v>
      </c>
      <c r="AE66" s="150"/>
      <c r="AF66" s="40">
        <f t="shared" si="12"/>
        <v>0</v>
      </c>
    </row>
    <row r="67" spans="1:32" ht="15">
      <c r="A67" s="59">
        <f t="shared" si="9"/>
        <v>24</v>
      </c>
      <c r="B67" s="151" t="s">
        <v>234</v>
      </c>
      <c r="C67" s="144"/>
      <c r="D67" s="144"/>
      <c r="E67" s="41"/>
      <c r="F67" s="146"/>
      <c r="G67" s="2"/>
      <c r="H67" s="59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2"/>
      <c r="X67" s="147"/>
      <c r="Y67" s="148"/>
      <c r="Z67" s="120"/>
      <c r="AA67" s="120"/>
      <c r="AB67" s="120"/>
      <c r="AC67" s="120"/>
      <c r="AD67" s="120"/>
      <c r="AE67" s="150"/>
      <c r="AF67" s="40" t="str">
        <f t="shared" si="12"/>
        <v>Software????</v>
      </c>
    </row>
    <row r="68" spans="1:32" ht="15">
      <c r="A68" s="59">
        <f t="shared" si="9"/>
        <v>25</v>
      </c>
      <c r="C68" s="144"/>
      <c r="D68" s="144"/>
      <c r="E68" s="41"/>
      <c r="F68" s="146"/>
      <c r="G68" s="2"/>
      <c r="H68" s="59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2"/>
      <c r="X68" s="147"/>
      <c r="Y68" s="148"/>
      <c r="Z68" s="120"/>
      <c r="AA68" s="120"/>
      <c r="AB68" s="120"/>
      <c r="AC68" s="120"/>
      <c r="AD68" s="120"/>
      <c r="AE68" s="150"/>
      <c r="AF68" s="40">
        <f aca="true" t="shared" si="14" ref="AF68:AF70">B69</f>
        <v>0</v>
      </c>
    </row>
    <row r="69" spans="1:32" ht="15">
      <c r="A69" s="59">
        <f t="shared" si="9"/>
        <v>26</v>
      </c>
      <c r="C69" s="144"/>
      <c r="D69" s="144"/>
      <c r="E69" s="41"/>
      <c r="F69" s="146"/>
      <c r="G69" s="2"/>
      <c r="H69" s="59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2"/>
      <c r="X69" s="147"/>
      <c r="Y69" s="148"/>
      <c r="Z69" s="120"/>
      <c r="AA69" s="120"/>
      <c r="AB69" s="120"/>
      <c r="AC69" s="120"/>
      <c r="AD69" s="120"/>
      <c r="AE69" s="150"/>
      <c r="AF69" s="40">
        <f t="shared" si="14"/>
        <v>0</v>
      </c>
    </row>
    <row r="70" spans="1:32" ht="15">
      <c r="A70" s="59">
        <f t="shared" si="9"/>
        <v>27</v>
      </c>
      <c r="C70" s="144"/>
      <c r="D70" s="144"/>
      <c r="E70" s="41"/>
      <c r="F70" s="146"/>
      <c r="G70" s="2"/>
      <c r="H70" s="59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2"/>
      <c r="X70" s="147"/>
      <c r="Y70" s="148"/>
      <c r="Z70" s="120"/>
      <c r="AA70" s="120"/>
      <c r="AB70" s="120"/>
      <c r="AC70" s="120"/>
      <c r="AD70" s="120"/>
      <c r="AE70" s="150"/>
      <c r="AF70" s="40">
        <f t="shared" si="14"/>
        <v>0</v>
      </c>
    </row>
    <row r="71" spans="1:31" ht="15">
      <c r="A71" s="59">
        <f t="shared" si="9"/>
        <v>28</v>
      </c>
      <c r="C71" s="144"/>
      <c r="D71" s="144"/>
      <c r="E71" s="41"/>
      <c r="F71" s="146"/>
      <c r="G71" s="2"/>
      <c r="H71" s="59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2"/>
      <c r="X71" s="147"/>
      <c r="Y71" s="148"/>
      <c r="Z71" s="120"/>
      <c r="AA71" s="120"/>
      <c r="AB71" s="120"/>
      <c r="AC71" s="120"/>
      <c r="AD71" s="120"/>
      <c r="AE71" s="150"/>
    </row>
    <row r="72" spans="1:31" ht="15">
      <c r="A72" s="59">
        <f t="shared" si="9"/>
        <v>29</v>
      </c>
      <c r="C72" s="144"/>
      <c r="D72" s="144"/>
      <c r="E72" s="41"/>
      <c r="F72" s="146"/>
      <c r="G72" s="2"/>
      <c r="H72" s="59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2"/>
      <c r="X72" s="147"/>
      <c r="Y72" s="148"/>
      <c r="Z72" s="120"/>
      <c r="AA72" s="120"/>
      <c r="AB72" s="120"/>
      <c r="AC72" s="120"/>
      <c r="AD72" s="120"/>
      <c r="AE72" s="150"/>
    </row>
    <row r="73" spans="1:31" ht="15">
      <c r="A73" s="59">
        <f t="shared" si="9"/>
        <v>30</v>
      </c>
      <c r="C73" s="144"/>
      <c r="D73" s="144"/>
      <c r="E73" s="41"/>
      <c r="F73" s="146"/>
      <c r="G73" s="2"/>
      <c r="H73" s="59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2"/>
      <c r="X73" s="147"/>
      <c r="Y73" s="148"/>
      <c r="Z73" s="120"/>
      <c r="AA73" s="120"/>
      <c r="AB73" s="120"/>
      <c r="AC73" s="120"/>
      <c r="AD73" s="120"/>
      <c r="AE73" s="150"/>
    </row>
    <row r="74" spans="1:31" ht="15">
      <c r="A74" s="59">
        <f t="shared" si="9"/>
        <v>31</v>
      </c>
      <c r="C74" s="144"/>
      <c r="D74" s="144"/>
      <c r="E74" s="41"/>
      <c r="F74" s="146"/>
      <c r="G74" s="2"/>
      <c r="H74" s="59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2"/>
      <c r="X74" s="147"/>
      <c r="Y74" s="148"/>
      <c r="Z74" s="120"/>
      <c r="AA74" s="120"/>
      <c r="AB74" s="120"/>
      <c r="AC74" s="120"/>
      <c r="AD74" s="120"/>
      <c r="AE74" s="150"/>
    </row>
    <row r="75" spans="1:31" ht="15">
      <c r="A75" s="59">
        <f t="shared" si="9"/>
        <v>32</v>
      </c>
      <c r="C75" s="144"/>
      <c r="D75" s="144"/>
      <c r="E75" s="41"/>
      <c r="F75" s="146"/>
      <c r="G75" s="2"/>
      <c r="H75" s="59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2"/>
      <c r="X75" s="147"/>
      <c r="Y75" s="148"/>
      <c r="Z75" s="120"/>
      <c r="AA75" s="120"/>
      <c r="AB75" s="120"/>
      <c r="AC75" s="120"/>
      <c r="AD75" s="120"/>
      <c r="AE75" s="150"/>
    </row>
    <row r="76" spans="1:31" ht="15">
      <c r="A76" s="59"/>
      <c r="C76" s="144"/>
      <c r="D76" s="144"/>
      <c r="E76" s="41"/>
      <c r="F76" s="146"/>
      <c r="G76" s="2"/>
      <c r="H76" s="59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2"/>
      <c r="X76" s="147"/>
      <c r="Y76" s="148"/>
      <c r="Z76" s="120"/>
      <c r="AA76" s="120"/>
      <c r="AB76" s="120"/>
      <c r="AC76" s="120"/>
      <c r="AD76" s="120"/>
      <c r="AE76" s="150"/>
    </row>
    <row r="77" spans="6:20" ht="15.75"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</row>
    <row r="78" spans="1:32" ht="15">
      <c r="A78" s="59">
        <f>A68+1</f>
        <v>26</v>
      </c>
      <c r="B78" s="40" t="s">
        <v>235</v>
      </c>
      <c r="C78" s="144">
        <v>40086</v>
      </c>
      <c r="D78" s="144">
        <v>40086</v>
      </c>
      <c r="E78" s="41">
        <f>NETWORKDAYS(C78,D78,$AS$140:$AS$153)</f>
        <v>1</v>
      </c>
      <c r="F78" s="146"/>
      <c r="G78" s="2">
        <f aca="true" t="shared" si="15" ref="G78">SUM(H78:U78)</f>
        <v>0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2">
        <f>SUM(H78:V78)</f>
        <v>0</v>
      </c>
      <c r="X78" s="147"/>
      <c r="Y78" s="148" t="e">
        <f>(H78*#REF!+'EESSAF-ODH 4-22-15'!I78*#REF!+'EESSAF-ODH 4-22-15'!J78*#REF!+'EESSAF-ODH 4-22-15'!K78*#REF!+'EESSAF-ODH 4-22-15'!L78*#REF!+'EESSAF-ODH 4-22-15'!M78*#REF!+'EESSAF-ODH 4-22-15'!N78*#REF!+'EESSAF-ODH 4-22-15'!O78*#REF!+'EESSAF-ODH 4-22-15'!P78*#REF!+'EESSAF-ODH 4-22-15'!Q78*#REF!+'EESSAF-ODH 4-22-15'!R78*#REF!+S78*#REF!+'EESSAF-ODH 4-22-15'!T78*#REF!+'EESSAF-ODH 4-22-15'!U78*#REF!)*1000/40</f>
        <v>#REF!</v>
      </c>
      <c r="Z78" s="120"/>
      <c r="AA78" s="120"/>
      <c r="AB78" s="120"/>
      <c r="AC78" s="120"/>
      <c r="AD78" s="120">
        <f>SUM(Z78:AC78)</f>
        <v>0</v>
      </c>
      <c r="AE78" s="150"/>
      <c r="AF78" s="40" t="str">
        <f>B78</f>
        <v>To add lines - Copy this line and insert</v>
      </c>
    </row>
    <row r="79" spans="6:20" ht="15.75"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</row>
    <row r="80" spans="6:20" ht="15.75"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</row>
    <row r="81" spans="1:30" ht="15">
      <c r="A81" s="40" t="s">
        <v>236</v>
      </c>
      <c r="F81" s="122" t="s">
        <v>237</v>
      </c>
      <c r="G81" s="126">
        <f>SUM(H81:V81)</f>
        <v>0</v>
      </c>
      <c r="H81" s="124">
        <f>SUM(H85:H102)</f>
        <v>0</v>
      </c>
      <c r="I81" s="124">
        <f aca="true" t="shared" si="16" ref="I81:W81">SUM(I85:I102)</f>
        <v>0</v>
      </c>
      <c r="J81" s="124">
        <f t="shared" si="16"/>
        <v>0</v>
      </c>
      <c r="K81" s="124">
        <f t="shared" si="16"/>
        <v>0</v>
      </c>
      <c r="L81" s="124">
        <f t="shared" si="16"/>
        <v>0</v>
      </c>
      <c r="M81" s="124">
        <f t="shared" si="16"/>
        <v>0</v>
      </c>
      <c r="N81" s="124">
        <f t="shared" si="16"/>
        <v>0</v>
      </c>
      <c r="O81" s="124">
        <f t="shared" si="16"/>
        <v>0</v>
      </c>
      <c r="P81" s="124">
        <f t="shared" si="16"/>
        <v>0</v>
      </c>
      <c r="Q81" s="124">
        <f t="shared" si="16"/>
        <v>0</v>
      </c>
      <c r="R81" s="124">
        <f t="shared" si="16"/>
        <v>0</v>
      </c>
      <c r="S81" s="124">
        <f t="shared" si="16"/>
        <v>0</v>
      </c>
      <c r="T81" s="124">
        <f t="shared" si="16"/>
        <v>0</v>
      </c>
      <c r="U81" s="124">
        <f t="shared" si="16"/>
        <v>0</v>
      </c>
      <c r="V81" s="124">
        <f t="shared" si="16"/>
        <v>0</v>
      </c>
      <c r="W81" s="126">
        <f t="shared" si="16"/>
        <v>0</v>
      </c>
      <c r="X81" s="69" t="s">
        <v>238</v>
      </c>
      <c r="Y81" s="121" t="e">
        <f>SUM(Y85:Y102)</f>
        <v>#REF!</v>
      </c>
      <c r="Z81" s="121">
        <f aca="true" t="shared" si="17" ref="Z81:AB81">SUM(Z85:Z102)</f>
        <v>0</v>
      </c>
      <c r="AA81" s="121">
        <f t="shared" si="17"/>
        <v>0</v>
      </c>
      <c r="AB81" s="121">
        <f t="shared" si="17"/>
        <v>0</v>
      </c>
      <c r="AC81" s="69" t="s">
        <v>239</v>
      </c>
      <c r="AD81" s="121">
        <f>SUM(AD85:AD102)</f>
        <v>0</v>
      </c>
    </row>
    <row r="82" spans="1:30" ht="21">
      <c r="A82" s="155" t="s">
        <v>240</v>
      </c>
      <c r="B82" s="40" t="s">
        <v>241</v>
      </c>
      <c r="F82" s="122" t="s">
        <v>242</v>
      </c>
      <c r="G82" s="126">
        <f>SUM(H82:V82)</f>
        <v>0</v>
      </c>
      <c r="H82" s="127">
        <f>H81/40</f>
        <v>0</v>
      </c>
      <c r="I82" s="127">
        <f aca="true" t="shared" si="18" ref="I82:W82">I81/40</f>
        <v>0</v>
      </c>
      <c r="J82" s="127">
        <f t="shared" si="18"/>
        <v>0</v>
      </c>
      <c r="K82" s="127">
        <f t="shared" si="18"/>
        <v>0</v>
      </c>
      <c r="L82" s="127">
        <f t="shared" si="18"/>
        <v>0</v>
      </c>
      <c r="M82" s="127">
        <f t="shared" si="18"/>
        <v>0</v>
      </c>
      <c r="N82" s="127">
        <f t="shared" si="18"/>
        <v>0</v>
      </c>
      <c r="O82" s="127">
        <f t="shared" si="18"/>
        <v>0</v>
      </c>
      <c r="P82" s="127">
        <f t="shared" si="18"/>
        <v>0</v>
      </c>
      <c r="Q82" s="127">
        <f t="shared" si="18"/>
        <v>0</v>
      </c>
      <c r="R82" s="127">
        <f t="shared" si="18"/>
        <v>0</v>
      </c>
      <c r="S82" s="127">
        <f t="shared" si="18"/>
        <v>0</v>
      </c>
      <c r="T82" s="127">
        <f t="shared" si="18"/>
        <v>0</v>
      </c>
      <c r="U82" s="127">
        <f t="shared" si="18"/>
        <v>0</v>
      </c>
      <c r="V82" s="127">
        <f t="shared" si="18"/>
        <v>0</v>
      </c>
      <c r="W82" s="126">
        <f t="shared" si="18"/>
        <v>0</v>
      </c>
      <c r="X82" s="69" t="s">
        <v>243</v>
      </c>
      <c r="Y82" s="128" t="e">
        <f>Y81/1000</f>
        <v>#REF!</v>
      </c>
      <c r="Z82" s="128">
        <f aca="true" t="shared" si="19" ref="Z82:AB82">Z81/1000</f>
        <v>0</v>
      </c>
      <c r="AA82" s="128">
        <f t="shared" si="19"/>
        <v>0</v>
      </c>
      <c r="AB82" s="128">
        <f t="shared" si="19"/>
        <v>0</v>
      </c>
      <c r="AC82" s="69" t="s">
        <v>244</v>
      </c>
      <c r="AD82" s="128">
        <f>AD81/1000</f>
        <v>0</v>
      </c>
    </row>
    <row r="83" spans="1:33" ht="15">
      <c r="A83" s="156" t="s">
        <v>216</v>
      </c>
      <c r="B83" s="157" t="s">
        <v>0</v>
      </c>
      <c r="C83" s="158" t="s">
        <v>217</v>
      </c>
      <c r="D83" s="159" t="s">
        <v>218</v>
      </c>
      <c r="E83" s="158" t="s">
        <v>219</v>
      </c>
      <c r="F83" s="158" t="s">
        <v>220</v>
      </c>
      <c r="G83" s="160"/>
      <c r="H83" s="161" t="s">
        <v>1</v>
      </c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0"/>
      <c r="X83" s="161"/>
      <c r="Y83" s="157"/>
      <c r="Z83" s="162" t="s">
        <v>221</v>
      </c>
      <c r="AA83" s="161"/>
      <c r="AB83" s="161"/>
      <c r="AC83" s="161"/>
      <c r="AD83" s="161"/>
      <c r="AE83" s="157"/>
      <c r="AF83" s="162"/>
      <c r="AG83" s="162" t="s">
        <v>222</v>
      </c>
    </row>
    <row r="84" spans="1:33" ht="15">
      <c r="A84" s="163"/>
      <c r="B84" s="164"/>
      <c r="C84" s="165">
        <f>MIN(C85:C90)</f>
        <v>0</v>
      </c>
      <c r="D84" s="166">
        <f>MAX(D85:D102)</f>
        <v>40816</v>
      </c>
      <c r="E84" s="167">
        <f aca="true" t="shared" si="20" ref="E84:E90">NETWORKDAYS(C84,D84,$AS$140:$AS$153)</f>
        <v>29142</v>
      </c>
      <c r="F84" s="168" t="s">
        <v>223</v>
      </c>
      <c r="G84" s="169" t="s">
        <v>2</v>
      </c>
      <c r="H84" s="170" t="s">
        <v>3</v>
      </c>
      <c r="I84" s="170" t="s">
        <v>4</v>
      </c>
      <c r="J84" s="170" t="s">
        <v>5</v>
      </c>
      <c r="K84" s="170" t="s">
        <v>6</v>
      </c>
      <c r="L84" s="170" t="s">
        <v>7</v>
      </c>
      <c r="M84" s="170" t="s">
        <v>80</v>
      </c>
      <c r="N84" s="170" t="s">
        <v>224</v>
      </c>
      <c r="O84" s="170" t="s">
        <v>225</v>
      </c>
      <c r="P84" s="170" t="s">
        <v>8</v>
      </c>
      <c r="Q84" s="170" t="s">
        <v>9</v>
      </c>
      <c r="R84" s="170" t="s">
        <v>10</v>
      </c>
      <c r="S84" s="170" t="s">
        <v>11</v>
      </c>
      <c r="T84" s="170" t="s">
        <v>12</v>
      </c>
      <c r="U84" s="170" t="s">
        <v>226</v>
      </c>
      <c r="V84" s="170" t="s">
        <v>227</v>
      </c>
      <c r="W84" s="169" t="s">
        <v>2</v>
      </c>
      <c r="X84" s="170"/>
      <c r="Y84" s="171" t="s">
        <v>228</v>
      </c>
      <c r="Z84" s="172" t="s">
        <v>229</v>
      </c>
      <c r="AA84" s="173" t="s">
        <v>230</v>
      </c>
      <c r="AB84" s="173" t="s">
        <v>231</v>
      </c>
      <c r="AC84" s="173" t="s">
        <v>232</v>
      </c>
      <c r="AD84" s="173" t="s">
        <v>233</v>
      </c>
      <c r="AE84" s="164"/>
      <c r="AF84" s="172" t="s">
        <v>0</v>
      </c>
      <c r="AG84" s="172"/>
    </row>
    <row r="85" spans="1:32" ht="15">
      <c r="A85" s="59">
        <f aca="true" t="shared" si="21" ref="A85:A90">A84+1</f>
        <v>1</v>
      </c>
      <c r="B85" s="40" t="s">
        <v>245</v>
      </c>
      <c r="C85" s="144"/>
      <c r="D85" s="144"/>
      <c r="E85" s="145">
        <f t="shared" si="20"/>
        <v>0</v>
      </c>
      <c r="F85" s="146"/>
      <c r="G85" s="2">
        <f>SUM(H85:U85)</f>
        <v>0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2">
        <f aca="true" t="shared" si="22" ref="W85:W90">SUM(H85:V85)</f>
        <v>0</v>
      </c>
      <c r="X85" s="147"/>
      <c r="Y85" s="148" t="e">
        <f>(H85*#REF!+'EESSAF-ODH 4-22-15'!I85*#REF!+'EESSAF-ODH 4-22-15'!J85*#REF!+'EESSAF-ODH 4-22-15'!K85*#REF!+'EESSAF-ODH 4-22-15'!L85*#REF!+'EESSAF-ODH 4-22-15'!M85*#REF!+'EESSAF-ODH 4-22-15'!N85*#REF!+'EESSAF-ODH 4-22-15'!O85*#REF!+'EESSAF-ODH 4-22-15'!P85*#REF!+'EESSAF-ODH 4-22-15'!Q85*#REF!+'EESSAF-ODH 4-22-15'!R85*#REF!+S85*#REF!+'EESSAF-ODH 4-22-15'!T85*#REF!+'EESSAF-ODH 4-22-15'!U85*#REF!)*1000/40</f>
        <v>#REF!</v>
      </c>
      <c r="Z85" s="120"/>
      <c r="AA85" s="120"/>
      <c r="AB85" s="120"/>
      <c r="AC85" s="120"/>
      <c r="AD85" s="120">
        <f aca="true" t="shared" si="23" ref="AD85:AD90">SUM(Z85:AC85)</f>
        <v>0</v>
      </c>
      <c r="AE85" s="149"/>
      <c r="AF85" s="40" t="str">
        <f>B85</f>
        <v>Management</v>
      </c>
    </row>
    <row r="86" spans="1:32" ht="15">
      <c r="A86" s="59">
        <f t="shared" si="21"/>
        <v>2</v>
      </c>
      <c r="B86" s="40" t="s">
        <v>246</v>
      </c>
      <c r="C86" s="144"/>
      <c r="D86" s="144"/>
      <c r="E86" s="41">
        <f t="shared" si="20"/>
        <v>0</v>
      </c>
      <c r="F86" s="146"/>
      <c r="G86" s="2">
        <f aca="true" t="shared" si="24" ref="G86:G90">SUM(H86:U86)</f>
        <v>0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2">
        <f t="shared" si="22"/>
        <v>0</v>
      </c>
      <c r="X86" s="147"/>
      <c r="Y86" s="148" t="e">
        <f>(H86*#REF!+'EESSAF-ODH 4-22-15'!I86*#REF!+'EESSAF-ODH 4-22-15'!J86*#REF!+'EESSAF-ODH 4-22-15'!K86*#REF!+'EESSAF-ODH 4-22-15'!L86*#REF!+'EESSAF-ODH 4-22-15'!M86*#REF!+'EESSAF-ODH 4-22-15'!N86*#REF!+'EESSAF-ODH 4-22-15'!O86*#REF!+'EESSAF-ODH 4-22-15'!P86*#REF!+'EESSAF-ODH 4-22-15'!Q86*#REF!+'EESSAF-ODH 4-22-15'!R86*#REF!+S86*#REF!+'EESSAF-ODH 4-22-15'!T86*#REF!+'EESSAF-ODH 4-22-15'!U86*#REF!)*1000/40</f>
        <v>#REF!</v>
      </c>
      <c r="Z86" s="120"/>
      <c r="AA86" s="120"/>
      <c r="AB86" s="120"/>
      <c r="AC86" s="120"/>
      <c r="AD86" s="120">
        <f t="shared" si="23"/>
        <v>0</v>
      </c>
      <c r="AE86" s="150"/>
      <c r="AF86" s="40" t="str">
        <f aca="true" t="shared" si="25" ref="AF86:AF90">B86</f>
        <v>Planning</v>
      </c>
    </row>
    <row r="87" spans="1:33" ht="15.75" customHeight="1">
      <c r="A87" s="59">
        <f t="shared" si="21"/>
        <v>3</v>
      </c>
      <c r="B87" s="40" t="s">
        <v>247</v>
      </c>
      <c r="C87" s="144"/>
      <c r="D87" s="144"/>
      <c r="E87" s="41">
        <f t="shared" si="20"/>
        <v>0</v>
      </c>
      <c r="F87" s="146"/>
      <c r="G87" s="2">
        <f t="shared" si="24"/>
        <v>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2">
        <f t="shared" si="22"/>
        <v>0</v>
      </c>
      <c r="X87" s="147"/>
      <c r="Y87" s="148" t="e">
        <f>(H87*#REF!+'EESSAF-ODH 4-22-15'!I87*#REF!+'EESSAF-ODH 4-22-15'!J87*#REF!+'EESSAF-ODH 4-22-15'!K87*#REF!+'EESSAF-ODH 4-22-15'!L87*#REF!+'EESSAF-ODH 4-22-15'!M87*#REF!+'EESSAF-ODH 4-22-15'!N87*#REF!+'EESSAF-ODH 4-22-15'!O87*#REF!+'EESSAF-ODH 4-22-15'!P87*#REF!+'EESSAF-ODH 4-22-15'!Q87*#REF!+'EESSAF-ODH 4-22-15'!R87*#REF!+S87*#REF!+'EESSAF-ODH 4-22-15'!T87*#REF!+'EESSAF-ODH 4-22-15'!U87*#REF!)*1000/40</f>
        <v>#REF!</v>
      </c>
      <c r="Z87" s="120"/>
      <c r="AA87" s="120"/>
      <c r="AB87" s="120"/>
      <c r="AC87" s="120"/>
      <c r="AD87" s="120">
        <f t="shared" si="23"/>
        <v>0</v>
      </c>
      <c r="AE87" s="150"/>
      <c r="AF87" s="40" t="str">
        <f t="shared" si="25"/>
        <v>PM</v>
      </c>
      <c r="AG87" s="174"/>
    </row>
    <row r="88" spans="1:32" ht="15">
      <c r="A88" s="59">
        <f t="shared" si="21"/>
        <v>4</v>
      </c>
      <c r="B88" s="40" t="s">
        <v>248</v>
      </c>
      <c r="C88" s="144"/>
      <c r="D88" s="144"/>
      <c r="E88" s="41">
        <f t="shared" si="20"/>
        <v>0</v>
      </c>
      <c r="F88" s="146"/>
      <c r="G88" s="2">
        <f t="shared" si="24"/>
        <v>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2">
        <f t="shared" si="22"/>
        <v>0</v>
      </c>
      <c r="X88" s="147"/>
      <c r="Y88" s="148" t="e">
        <f>(H88*#REF!+'EESSAF-ODH 4-22-15'!I88*#REF!+'EESSAF-ODH 4-22-15'!J88*#REF!+'EESSAF-ODH 4-22-15'!K88*#REF!+'EESSAF-ODH 4-22-15'!L88*#REF!+'EESSAF-ODH 4-22-15'!M88*#REF!+'EESSAF-ODH 4-22-15'!N88*#REF!+'EESSAF-ODH 4-22-15'!O88*#REF!+'EESSAF-ODH 4-22-15'!P88*#REF!+'EESSAF-ODH 4-22-15'!Q88*#REF!+'EESSAF-ODH 4-22-15'!R88*#REF!+S88*#REF!+'EESSAF-ODH 4-22-15'!T88*#REF!+'EESSAF-ODH 4-22-15'!U88*#REF!)*1000/40</f>
        <v>#REF!</v>
      </c>
      <c r="Z88" s="120"/>
      <c r="AA88" s="120"/>
      <c r="AB88" s="120"/>
      <c r="AC88" s="120"/>
      <c r="AD88" s="120">
        <f t="shared" si="23"/>
        <v>0</v>
      </c>
      <c r="AE88" s="150"/>
      <c r="AF88" s="40" t="str">
        <f t="shared" si="25"/>
        <v>Metrics/Tracking</v>
      </c>
    </row>
    <row r="89" spans="1:32" ht="15">
      <c r="A89" s="59">
        <f t="shared" si="21"/>
        <v>5</v>
      </c>
      <c r="B89" s="40" t="s">
        <v>249</v>
      </c>
      <c r="C89" s="144"/>
      <c r="D89" s="144"/>
      <c r="E89" s="41">
        <f t="shared" si="20"/>
        <v>0</v>
      </c>
      <c r="F89" s="146"/>
      <c r="G89" s="2">
        <f t="shared" si="24"/>
        <v>0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2">
        <f t="shared" si="22"/>
        <v>0</v>
      </c>
      <c r="X89" s="147"/>
      <c r="Y89" s="148" t="e">
        <f>(H89*#REF!+'EESSAF-ODH 4-22-15'!I89*#REF!+'EESSAF-ODH 4-22-15'!J89*#REF!+'EESSAF-ODH 4-22-15'!K89*#REF!+'EESSAF-ODH 4-22-15'!L89*#REF!+'EESSAF-ODH 4-22-15'!M89*#REF!+'EESSAF-ODH 4-22-15'!N89*#REF!+'EESSAF-ODH 4-22-15'!O89*#REF!+'EESSAF-ODH 4-22-15'!P89*#REF!+'EESSAF-ODH 4-22-15'!Q89*#REF!+'EESSAF-ODH 4-22-15'!R89*#REF!+S89*#REF!+'EESSAF-ODH 4-22-15'!T89*#REF!+'EESSAF-ODH 4-22-15'!U89*#REF!)*1000/40</f>
        <v>#REF!</v>
      </c>
      <c r="Z89" s="120"/>
      <c r="AA89" s="120"/>
      <c r="AB89" s="120"/>
      <c r="AC89" s="120"/>
      <c r="AD89" s="120">
        <f t="shared" si="23"/>
        <v>0</v>
      </c>
      <c r="AE89" s="150"/>
      <c r="AF89" s="40" t="str">
        <f t="shared" si="25"/>
        <v>Oversight</v>
      </c>
    </row>
    <row r="90" spans="1:32" ht="15">
      <c r="A90" s="59">
        <f t="shared" si="21"/>
        <v>6</v>
      </c>
      <c r="B90" s="40" t="s">
        <v>250</v>
      </c>
      <c r="C90" s="144"/>
      <c r="D90" s="144"/>
      <c r="E90" s="41">
        <f t="shared" si="20"/>
        <v>0</v>
      </c>
      <c r="F90" s="146"/>
      <c r="G90" s="2">
        <f t="shared" si="24"/>
        <v>0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2">
        <f t="shared" si="22"/>
        <v>0</v>
      </c>
      <c r="X90" s="147"/>
      <c r="Y90" s="148" t="e">
        <f>(H90*#REF!+'EESSAF-ODH 4-22-15'!I90*#REF!+'EESSAF-ODH 4-22-15'!J90*#REF!+'EESSAF-ODH 4-22-15'!K90*#REF!+'EESSAF-ODH 4-22-15'!L90*#REF!+'EESSAF-ODH 4-22-15'!M90*#REF!+'EESSAF-ODH 4-22-15'!N90*#REF!+'EESSAF-ODH 4-22-15'!O90*#REF!+'EESSAF-ODH 4-22-15'!P90*#REF!+'EESSAF-ODH 4-22-15'!Q90*#REF!+'EESSAF-ODH 4-22-15'!R90*#REF!+S90*#REF!+'EESSAF-ODH 4-22-15'!T90*#REF!+'EESSAF-ODH 4-22-15'!U90*#REF!)*1000/40</f>
        <v>#REF!</v>
      </c>
      <c r="Z90" s="120"/>
      <c r="AA90" s="120"/>
      <c r="AB90" s="120"/>
      <c r="AC90" s="120"/>
      <c r="AD90" s="120">
        <f t="shared" si="23"/>
        <v>0</v>
      </c>
      <c r="AE90" s="150"/>
      <c r="AF90" s="40" t="str">
        <f t="shared" si="25"/>
        <v>Operations Training</v>
      </c>
    </row>
    <row r="94" spans="1:32" ht="15">
      <c r="A94" s="59">
        <f>A93+1</f>
        <v>1</v>
      </c>
      <c r="B94" s="40" t="s">
        <v>235</v>
      </c>
      <c r="C94" s="144">
        <v>40391</v>
      </c>
      <c r="D94" s="144">
        <v>40816</v>
      </c>
      <c r="E94" s="41">
        <f>NETWORKDAYS(C94,D94,$AS$140:$AS$153)</f>
        <v>292</v>
      </c>
      <c r="F94" s="146"/>
      <c r="G94" s="2">
        <f aca="true" t="shared" si="26" ref="G94">SUM(H94:U94)</f>
        <v>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2">
        <f>SUM(H94:V94)</f>
        <v>0</v>
      </c>
      <c r="X94" s="147"/>
      <c r="Y94" s="148" t="e">
        <f>(H94*#REF!+'EESSAF-ODH 4-22-15'!I94*#REF!+'EESSAF-ODH 4-22-15'!J94*#REF!+'EESSAF-ODH 4-22-15'!K94*#REF!+'EESSAF-ODH 4-22-15'!L94*#REF!+'EESSAF-ODH 4-22-15'!M94*#REF!+'EESSAF-ODH 4-22-15'!N94*#REF!+'EESSAF-ODH 4-22-15'!O94*#REF!+'EESSAF-ODH 4-22-15'!P94*#REF!+'EESSAF-ODH 4-22-15'!Q94*#REF!+'EESSAF-ODH 4-22-15'!R94*#REF!+S94*#REF!+'EESSAF-ODH 4-22-15'!T94*#REF!+'EESSAF-ODH 4-22-15'!U94*#REF!)*1000/40</f>
        <v>#REF!</v>
      </c>
      <c r="Z94" s="120"/>
      <c r="AA94" s="120"/>
      <c r="AB94" s="120"/>
      <c r="AC94" s="120"/>
      <c r="AD94" s="120">
        <f>SUM(Z94:AC94)</f>
        <v>0</v>
      </c>
      <c r="AE94" s="150"/>
      <c r="AF94" s="40" t="str">
        <f>B94</f>
        <v>To add lines - Copy this line and insert</v>
      </c>
    </row>
    <row r="138" spans="44:46" ht="15">
      <c r="AR138" s="175" t="s">
        <v>251</v>
      </c>
      <c r="AS138" s="175" t="s">
        <v>252</v>
      </c>
      <c r="AT138" s="175" t="s">
        <v>253</v>
      </c>
    </row>
    <row r="139" spans="44:46" ht="15">
      <c r="AR139" s="176" t="s">
        <v>254</v>
      </c>
      <c r="AS139" s="176"/>
      <c r="AT139" s="176"/>
    </row>
    <row r="140" spans="44:46" ht="15">
      <c r="AR140" s="177" t="s">
        <v>255</v>
      </c>
      <c r="AS140" s="178">
        <v>40507</v>
      </c>
      <c r="AT140" s="179" t="s">
        <v>256</v>
      </c>
    </row>
    <row r="141" spans="44:46" ht="26.25">
      <c r="AR141" s="180" t="s">
        <v>257</v>
      </c>
      <c r="AS141" s="181">
        <v>40508</v>
      </c>
      <c r="AT141" s="182" t="s">
        <v>258</v>
      </c>
    </row>
    <row r="142" spans="44:46" ht="15">
      <c r="AR142" s="180" t="s">
        <v>259</v>
      </c>
      <c r="AS142" s="181">
        <v>40536</v>
      </c>
      <c r="AT142" s="182" t="s">
        <v>258</v>
      </c>
    </row>
    <row r="143" spans="44:46" ht="15">
      <c r="AR143" s="180" t="s">
        <v>260</v>
      </c>
      <c r="AS143" s="181">
        <v>40539</v>
      </c>
      <c r="AT143" s="182" t="s">
        <v>261</v>
      </c>
    </row>
    <row r="144" spans="44:46" ht="15">
      <c r="AR144" s="180" t="s">
        <v>262</v>
      </c>
      <c r="AS144" s="181">
        <v>40540</v>
      </c>
      <c r="AT144" s="182" t="s">
        <v>263</v>
      </c>
    </row>
    <row r="145" spans="44:46" ht="15">
      <c r="AR145" s="180" t="s">
        <v>262</v>
      </c>
      <c r="AS145" s="181">
        <v>40541</v>
      </c>
      <c r="AT145" s="182" t="s">
        <v>264</v>
      </c>
    </row>
    <row r="146" spans="44:46" ht="15">
      <c r="AR146" s="180" t="s">
        <v>262</v>
      </c>
      <c r="AS146" s="181">
        <v>40542</v>
      </c>
      <c r="AT146" s="182" t="s">
        <v>256</v>
      </c>
    </row>
    <row r="147" spans="44:46" ht="15">
      <c r="AR147" s="180" t="s">
        <v>265</v>
      </c>
      <c r="AS147" s="181">
        <v>40542</v>
      </c>
      <c r="AT147" s="182" t="s">
        <v>258</v>
      </c>
    </row>
    <row r="148" spans="44:46" ht="15">
      <c r="AR148" s="180" t="s">
        <v>266</v>
      </c>
      <c r="AS148" s="181">
        <v>40543</v>
      </c>
      <c r="AT148" s="182" t="s">
        <v>256</v>
      </c>
    </row>
    <row r="149" spans="44:46" ht="15">
      <c r="AR149" s="183" t="s">
        <v>267</v>
      </c>
      <c r="AS149" s="181">
        <v>40560</v>
      </c>
      <c r="AT149" s="182" t="s">
        <v>261</v>
      </c>
    </row>
    <row r="150" spans="44:46" ht="15">
      <c r="AR150" s="180" t="s">
        <v>268</v>
      </c>
      <c r="AS150" s="181">
        <v>40595</v>
      </c>
      <c r="AT150" s="182" t="s">
        <v>261</v>
      </c>
    </row>
    <row r="151" spans="44:46" ht="15">
      <c r="AR151" s="180" t="s">
        <v>269</v>
      </c>
      <c r="AS151" s="181">
        <v>40693</v>
      </c>
      <c r="AT151" s="182" t="s">
        <v>261</v>
      </c>
    </row>
    <row r="152" spans="44:46" ht="15">
      <c r="AR152" s="180" t="s">
        <v>270</v>
      </c>
      <c r="AS152" s="181">
        <v>40728</v>
      </c>
      <c r="AT152" s="182" t="s">
        <v>261</v>
      </c>
    </row>
    <row r="153" spans="44:46" ht="18" customHeight="1">
      <c r="AR153" s="180" t="s">
        <v>271</v>
      </c>
      <c r="AS153" s="181">
        <v>40791</v>
      </c>
      <c r="AT153" s="182" t="s">
        <v>261</v>
      </c>
    </row>
    <row r="154" spans="44:46" ht="15">
      <c r="AR154" s="184" t="s">
        <v>272</v>
      </c>
      <c r="AS154" s="176"/>
      <c r="AT154" s="176"/>
    </row>
    <row r="155" spans="44:46" ht="15">
      <c r="AR155" s="177" t="s">
        <v>255</v>
      </c>
      <c r="AS155" s="178">
        <v>40871</v>
      </c>
      <c r="AT155" s="179" t="s">
        <v>256</v>
      </c>
    </row>
    <row r="156" spans="44:46" ht="26.25">
      <c r="AR156" s="180" t="s">
        <v>257</v>
      </c>
      <c r="AS156" s="181">
        <v>40872</v>
      </c>
      <c r="AT156" s="182" t="s">
        <v>258</v>
      </c>
    </row>
    <row r="157" spans="44:46" ht="15">
      <c r="AR157" s="180" t="s">
        <v>259</v>
      </c>
      <c r="AS157" s="181">
        <v>40900</v>
      </c>
      <c r="AT157" s="182" t="s">
        <v>258</v>
      </c>
    </row>
    <row r="158" spans="44:46" ht="15">
      <c r="AR158" s="180" t="s">
        <v>260</v>
      </c>
      <c r="AS158" s="181">
        <v>40903</v>
      </c>
      <c r="AT158" s="182" t="s">
        <v>261</v>
      </c>
    </row>
    <row r="159" spans="44:46" ht="15">
      <c r="AR159" s="180" t="s">
        <v>262</v>
      </c>
      <c r="AS159" s="181">
        <v>40904</v>
      </c>
      <c r="AT159" s="182" t="s">
        <v>263</v>
      </c>
    </row>
    <row r="160" spans="44:46" ht="15">
      <c r="AR160" s="180" t="s">
        <v>262</v>
      </c>
      <c r="AS160" s="181">
        <v>40905</v>
      </c>
      <c r="AT160" s="182" t="s">
        <v>264</v>
      </c>
    </row>
    <row r="161" spans="44:46" ht="15">
      <c r="AR161" s="180" t="s">
        <v>265</v>
      </c>
      <c r="AS161" s="181">
        <v>40906</v>
      </c>
      <c r="AT161" s="182" t="s">
        <v>256</v>
      </c>
    </row>
    <row r="162" spans="44:46" ht="15">
      <c r="AR162" s="180" t="s">
        <v>266</v>
      </c>
      <c r="AS162" s="181">
        <v>40907</v>
      </c>
      <c r="AT162" s="182" t="s">
        <v>258</v>
      </c>
    </row>
    <row r="163" spans="44:46" ht="15">
      <c r="AR163" s="183" t="s">
        <v>267</v>
      </c>
      <c r="AS163" s="181">
        <v>40924</v>
      </c>
      <c r="AT163" s="182" t="s">
        <v>261</v>
      </c>
    </row>
    <row r="164" spans="44:46" ht="15">
      <c r="AR164" s="180" t="s">
        <v>268</v>
      </c>
      <c r="AS164" s="181">
        <v>40959</v>
      </c>
      <c r="AT164" s="182" t="s">
        <v>261</v>
      </c>
    </row>
    <row r="165" spans="44:46" ht="15">
      <c r="AR165" s="180" t="s">
        <v>269</v>
      </c>
      <c r="AS165" s="181">
        <v>41057</v>
      </c>
      <c r="AT165" s="182" t="s">
        <v>261</v>
      </c>
    </row>
    <row r="166" spans="44:46" ht="15">
      <c r="AR166" s="180" t="s">
        <v>270</v>
      </c>
      <c r="AS166" s="181">
        <v>41094</v>
      </c>
      <c r="AT166" s="182" t="s">
        <v>264</v>
      </c>
    </row>
  </sheetData>
  <conditionalFormatting sqref="B59">
    <cfRule type="expression" priority="5" dxfId="0" stopIfTrue="1">
      <formula>$AV1048450&lt;&gt;$AV1048451</formula>
    </cfRule>
  </conditionalFormatting>
  <conditionalFormatting sqref="B58">
    <cfRule type="expression" priority="4" dxfId="0" stopIfTrue="1">
      <formula>$AV1048452&lt;&gt;$AV1048453</formula>
    </cfRule>
  </conditionalFormatting>
  <conditionalFormatting sqref="B47:B48">
    <cfRule type="expression" priority="3" dxfId="0" stopIfTrue="1">
      <formula>#REF!&lt;&gt;$AV318</formula>
    </cfRule>
  </conditionalFormatting>
  <conditionalFormatting sqref="B48">
    <cfRule type="expression" priority="2" dxfId="0" stopIfTrue="1">
      <formula>$AV543&lt;&gt;$AV556</formula>
    </cfRule>
  </conditionalFormatting>
  <conditionalFormatting sqref="B47:B48">
    <cfRule type="expression" priority="1" dxfId="0" stopIfTrue="1">
      <formula>#REF!&lt;&gt;#REF!</formula>
    </cfRule>
  </conditionalFormatting>
  <printOptions/>
  <pageMargins left="0.7" right="0.7" top="0.75" bottom="0.75" header="0.3" footer="0.3"/>
  <pageSetup fitToHeight="5" fitToWidth="1" horizontalDpi="600" verticalDpi="600" orientation="landscape" paperSize="3" scale="5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 topLeftCell="A1">
      <selection activeCell="A49" sqref="A49"/>
    </sheetView>
  </sheetViews>
  <sheetFormatPr defaultColWidth="9.140625" defaultRowHeight="15"/>
  <cols>
    <col min="1" max="1" width="33.7109375" style="40" bestFit="1" customWidth="1"/>
    <col min="2" max="2" width="10.00390625" style="40" bestFit="1" customWidth="1"/>
    <col min="3" max="3" width="12.00390625" style="40" bestFit="1" customWidth="1"/>
    <col min="4" max="4" width="6.8515625" style="40" bestFit="1" customWidth="1"/>
    <col min="5" max="5" width="9.140625" style="40" customWidth="1"/>
    <col min="6" max="6" width="9.140625" style="40" bestFit="1" customWidth="1"/>
    <col min="7" max="7" width="9.140625" style="40" customWidth="1"/>
    <col min="8" max="9" width="9.57421875" style="40" bestFit="1" customWidth="1"/>
    <col min="10" max="10" width="10.57421875" style="40" bestFit="1" customWidth="1"/>
    <col min="11" max="11" width="10.7109375" style="40" bestFit="1" customWidth="1"/>
    <col min="12" max="12" width="12.00390625" style="40" bestFit="1" customWidth="1"/>
    <col min="13" max="16384" width="9.140625" style="40" customWidth="1"/>
  </cols>
  <sheetData>
    <row r="1" spans="1:12" ht="23.25">
      <c r="A1" s="465" t="s">
        <v>36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</row>
    <row r="2" spans="1:12" ht="15">
      <c r="A2" s="8" t="s">
        <v>0</v>
      </c>
      <c r="B2" s="3"/>
      <c r="C2" s="470" t="s">
        <v>1</v>
      </c>
      <c r="D2" s="471"/>
      <c r="E2" s="471"/>
      <c r="F2" s="471"/>
      <c r="G2" s="471"/>
      <c r="H2" s="471"/>
      <c r="I2" s="471"/>
      <c r="J2" s="471"/>
      <c r="K2" s="471"/>
      <c r="L2" s="472"/>
    </row>
    <row r="3" spans="1:12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59</v>
      </c>
      <c r="H3" s="5" t="s">
        <v>8</v>
      </c>
      <c r="I3" s="5" t="s">
        <v>9</v>
      </c>
      <c r="J3" s="5" t="s">
        <v>10</v>
      </c>
      <c r="K3" s="5" t="s">
        <v>11</v>
      </c>
      <c r="L3" s="10" t="s">
        <v>12</v>
      </c>
    </row>
    <row r="4" spans="1:12" ht="15">
      <c r="A4" s="6" t="s">
        <v>13</v>
      </c>
      <c r="B4" s="2">
        <f aca="true" t="shared" si="0" ref="B4:B26">SUM(C4:L4)</f>
        <v>24</v>
      </c>
      <c r="C4" s="42"/>
      <c r="D4" s="42"/>
      <c r="E4" s="42"/>
      <c r="F4" s="42"/>
      <c r="G4" s="42">
        <v>24</v>
      </c>
      <c r="H4" s="42"/>
      <c r="I4" s="42"/>
      <c r="J4" s="42"/>
      <c r="K4" s="42"/>
      <c r="L4" s="12"/>
    </row>
    <row r="5" spans="1:12" ht="15">
      <c r="A5" s="6" t="s">
        <v>14</v>
      </c>
      <c r="B5" s="2">
        <f t="shared" si="0"/>
        <v>56</v>
      </c>
      <c r="C5" s="13"/>
      <c r="D5" s="42"/>
      <c r="E5" s="42"/>
      <c r="F5" s="42"/>
      <c r="G5" s="42">
        <v>56</v>
      </c>
      <c r="H5" s="42"/>
      <c r="I5" s="42"/>
      <c r="J5" s="42"/>
      <c r="K5" s="42"/>
      <c r="L5" s="12"/>
    </row>
    <row r="6" spans="1:12" ht="15">
      <c r="A6" s="6" t="s">
        <v>15</v>
      </c>
      <c r="B6" s="2">
        <f t="shared" si="0"/>
        <v>80</v>
      </c>
      <c r="C6" s="13"/>
      <c r="D6" s="42"/>
      <c r="E6" s="42"/>
      <c r="F6" s="42"/>
      <c r="G6" s="42">
        <v>80</v>
      </c>
      <c r="H6" s="42"/>
      <c r="I6" s="42"/>
      <c r="J6" s="42"/>
      <c r="K6" s="42"/>
      <c r="L6" s="12"/>
    </row>
    <row r="7" spans="1:12" ht="15">
      <c r="A7" s="275" t="s">
        <v>16</v>
      </c>
      <c r="B7" s="2">
        <f t="shared" si="0"/>
        <v>224</v>
      </c>
      <c r="C7" s="13"/>
      <c r="D7" s="42"/>
      <c r="E7" s="42"/>
      <c r="F7" s="42"/>
      <c r="G7" s="42">
        <v>56</v>
      </c>
      <c r="H7" s="42">
        <v>48</v>
      </c>
      <c r="I7" s="42"/>
      <c r="J7" s="42">
        <v>120</v>
      </c>
      <c r="K7" s="42"/>
      <c r="L7" s="12"/>
    </row>
    <row r="8" spans="1:12" ht="15">
      <c r="A8" s="276" t="s">
        <v>17</v>
      </c>
      <c r="B8" s="2">
        <f t="shared" si="0"/>
        <v>160</v>
      </c>
      <c r="C8" s="13"/>
      <c r="D8" s="42"/>
      <c r="E8" s="42"/>
      <c r="F8" s="42"/>
      <c r="G8" s="42">
        <v>80</v>
      </c>
      <c r="H8" s="42"/>
      <c r="I8" s="42"/>
      <c r="J8" s="42">
        <v>80</v>
      </c>
      <c r="K8" s="42"/>
      <c r="L8" s="12"/>
    </row>
    <row r="9" spans="1:12" ht="15">
      <c r="A9" s="276" t="s">
        <v>18</v>
      </c>
      <c r="B9" s="2">
        <f t="shared" si="0"/>
        <v>64</v>
      </c>
      <c r="C9" s="13"/>
      <c r="D9" s="42"/>
      <c r="E9" s="42"/>
      <c r="F9" s="42"/>
      <c r="G9" s="42">
        <v>16</v>
      </c>
      <c r="H9" s="42"/>
      <c r="I9" s="42"/>
      <c r="J9" s="42">
        <v>48</v>
      </c>
      <c r="K9" s="42"/>
      <c r="L9" s="12"/>
    </row>
    <row r="10" spans="1:12" ht="15">
      <c r="A10" s="275" t="s">
        <v>19</v>
      </c>
      <c r="B10" s="2">
        <f t="shared" si="0"/>
        <v>24</v>
      </c>
      <c r="C10" s="13"/>
      <c r="D10" s="42"/>
      <c r="E10" s="42"/>
      <c r="F10" s="42"/>
      <c r="G10" s="42">
        <v>8</v>
      </c>
      <c r="H10" s="42"/>
      <c r="I10" s="42"/>
      <c r="J10" s="42">
        <v>16</v>
      </c>
      <c r="K10" s="42"/>
      <c r="L10" s="12"/>
    </row>
    <row r="11" spans="1:12" ht="15">
      <c r="A11" s="275" t="s">
        <v>20</v>
      </c>
      <c r="B11" s="2">
        <f t="shared" si="0"/>
        <v>0</v>
      </c>
      <c r="C11" s="13"/>
      <c r="D11" s="42"/>
      <c r="E11" s="42"/>
      <c r="F11" s="42"/>
      <c r="G11" s="42"/>
      <c r="H11" s="42"/>
      <c r="I11" s="42"/>
      <c r="J11" s="42"/>
      <c r="K11" s="42"/>
      <c r="L11" s="12"/>
    </row>
    <row r="12" spans="1:12" ht="15">
      <c r="A12" s="275" t="s">
        <v>21</v>
      </c>
      <c r="B12" s="2">
        <f t="shared" si="0"/>
        <v>456</v>
      </c>
      <c r="C12" s="13"/>
      <c r="D12" s="42"/>
      <c r="E12" s="42"/>
      <c r="F12" s="42"/>
      <c r="G12" s="42"/>
      <c r="H12" s="42"/>
      <c r="I12" s="42"/>
      <c r="J12" s="42">
        <v>376</v>
      </c>
      <c r="K12" s="42"/>
      <c r="L12" s="12">
        <v>80</v>
      </c>
    </row>
    <row r="13" spans="1:12" ht="15">
      <c r="A13" s="275" t="s">
        <v>22</v>
      </c>
      <c r="B13" s="2">
        <f t="shared" si="0"/>
        <v>32</v>
      </c>
      <c r="C13" s="13"/>
      <c r="D13" s="42"/>
      <c r="E13" s="42"/>
      <c r="F13" s="42"/>
      <c r="G13" s="42"/>
      <c r="H13" s="42"/>
      <c r="I13" s="42"/>
      <c r="J13" s="42">
        <v>32</v>
      </c>
      <c r="K13" s="42"/>
      <c r="L13" s="12"/>
    </row>
    <row r="14" spans="1:12" ht="15">
      <c r="A14" s="274" t="s">
        <v>23</v>
      </c>
      <c r="B14" s="2">
        <f t="shared" si="0"/>
        <v>240</v>
      </c>
      <c r="C14" s="13"/>
      <c r="D14" s="42"/>
      <c r="E14" s="42"/>
      <c r="F14" s="42"/>
      <c r="G14" s="42"/>
      <c r="H14" s="42"/>
      <c r="I14" s="42"/>
      <c r="J14" s="42">
        <v>224</v>
      </c>
      <c r="K14" s="42"/>
      <c r="L14" s="12">
        <v>16</v>
      </c>
    </row>
    <row r="15" spans="1:12" ht="15">
      <c r="A15" s="275" t="s">
        <v>24</v>
      </c>
      <c r="B15" s="2">
        <f t="shared" si="0"/>
        <v>240</v>
      </c>
      <c r="C15" s="13"/>
      <c r="D15" s="42"/>
      <c r="E15" s="42"/>
      <c r="F15" s="42"/>
      <c r="G15" s="42"/>
      <c r="H15" s="42"/>
      <c r="I15" s="42"/>
      <c r="J15" s="42">
        <v>40</v>
      </c>
      <c r="K15" s="42"/>
      <c r="L15" s="12">
        <v>200</v>
      </c>
    </row>
    <row r="16" spans="1:12" ht="15">
      <c r="A16" s="275" t="s">
        <v>25</v>
      </c>
      <c r="B16" s="2">
        <f t="shared" si="0"/>
        <v>230</v>
      </c>
      <c r="C16" s="13"/>
      <c r="D16" s="42"/>
      <c r="E16" s="42"/>
      <c r="F16" s="42"/>
      <c r="G16" s="42"/>
      <c r="H16" s="42"/>
      <c r="I16" s="42"/>
      <c r="J16" s="42">
        <v>200</v>
      </c>
      <c r="K16" s="42"/>
      <c r="L16" s="12">
        <v>30</v>
      </c>
    </row>
    <row r="17" spans="1:12" ht="15">
      <c r="A17" s="275" t="s">
        <v>26</v>
      </c>
      <c r="B17" s="2">
        <f t="shared" si="0"/>
        <v>120</v>
      </c>
      <c r="C17" s="13"/>
      <c r="D17" s="42"/>
      <c r="E17" s="42"/>
      <c r="F17" s="42"/>
      <c r="G17" s="42"/>
      <c r="H17" s="42"/>
      <c r="I17" s="42"/>
      <c r="J17" s="42">
        <v>120</v>
      </c>
      <c r="K17" s="42"/>
      <c r="L17" s="12"/>
    </row>
    <row r="18" spans="1:12" ht="15">
      <c r="A18" s="275" t="s">
        <v>27</v>
      </c>
      <c r="B18" s="2">
        <f t="shared" si="0"/>
        <v>40</v>
      </c>
      <c r="C18" s="13"/>
      <c r="D18" s="42"/>
      <c r="E18" s="42"/>
      <c r="F18" s="42"/>
      <c r="G18" s="42">
        <v>8</v>
      </c>
      <c r="H18" s="42"/>
      <c r="I18" s="42"/>
      <c r="J18" s="42">
        <v>32</v>
      </c>
      <c r="K18" s="42"/>
      <c r="L18" s="12"/>
    </row>
    <row r="19" spans="1:12" ht="15">
      <c r="A19" s="275" t="s">
        <v>28</v>
      </c>
      <c r="B19" s="2">
        <f t="shared" si="0"/>
        <v>80</v>
      </c>
      <c r="C19" s="13"/>
      <c r="D19" s="42"/>
      <c r="E19" s="42"/>
      <c r="F19" s="42"/>
      <c r="G19" s="42">
        <v>80</v>
      </c>
      <c r="H19" s="42"/>
      <c r="I19" s="42"/>
      <c r="J19" s="42"/>
      <c r="K19" s="42"/>
      <c r="L19" s="12"/>
    </row>
    <row r="20" spans="1:12" ht="15">
      <c r="A20" s="275" t="s">
        <v>29</v>
      </c>
      <c r="B20" s="2">
        <f t="shared" si="0"/>
        <v>24</v>
      </c>
      <c r="C20" s="13"/>
      <c r="D20" s="42"/>
      <c r="E20" s="42"/>
      <c r="F20" s="42"/>
      <c r="G20" s="42">
        <v>24</v>
      </c>
      <c r="H20" s="42"/>
      <c r="I20" s="42"/>
      <c r="J20" s="42"/>
      <c r="K20" s="42"/>
      <c r="L20" s="12"/>
    </row>
    <row r="21" spans="1:12" ht="15">
      <c r="A21" s="275" t="s">
        <v>30</v>
      </c>
      <c r="B21" s="2">
        <f t="shared" si="0"/>
        <v>80</v>
      </c>
      <c r="C21" s="13"/>
      <c r="D21" s="42"/>
      <c r="E21" s="42"/>
      <c r="F21" s="42"/>
      <c r="G21" s="42">
        <v>80</v>
      </c>
      <c r="H21" s="42"/>
      <c r="I21" s="42"/>
      <c r="J21" s="42"/>
      <c r="K21" s="42"/>
      <c r="L21" s="12"/>
    </row>
    <row r="22" spans="1:12" ht="15">
      <c r="A22" s="275" t="s">
        <v>31</v>
      </c>
      <c r="B22" s="2">
        <f t="shared" si="0"/>
        <v>160</v>
      </c>
      <c r="C22" s="13"/>
      <c r="D22" s="42"/>
      <c r="E22" s="42"/>
      <c r="F22" s="42"/>
      <c r="G22" s="42">
        <v>80</v>
      </c>
      <c r="H22" s="42"/>
      <c r="I22" s="42"/>
      <c r="J22" s="42">
        <v>80</v>
      </c>
      <c r="K22" s="42"/>
      <c r="L22" s="12"/>
    </row>
    <row r="23" spans="1:12" ht="15">
      <c r="A23" s="275" t="s">
        <v>32</v>
      </c>
      <c r="B23" s="2">
        <f t="shared" si="0"/>
        <v>136</v>
      </c>
      <c r="C23" s="13"/>
      <c r="D23" s="42"/>
      <c r="E23" s="42"/>
      <c r="F23" s="42"/>
      <c r="G23" s="42">
        <v>40</v>
      </c>
      <c r="H23" s="42"/>
      <c r="I23" s="42"/>
      <c r="J23" s="42">
        <v>96</v>
      </c>
      <c r="K23" s="42"/>
      <c r="L23" s="12"/>
    </row>
    <row r="24" spans="1:12" ht="15">
      <c r="A24" s="275" t="s">
        <v>33</v>
      </c>
      <c r="B24" s="2">
        <f t="shared" si="0"/>
        <v>32</v>
      </c>
      <c r="C24" s="13"/>
      <c r="D24" s="42"/>
      <c r="E24" s="42"/>
      <c r="F24" s="42"/>
      <c r="G24" s="42">
        <v>16</v>
      </c>
      <c r="H24" s="42"/>
      <c r="I24" s="42"/>
      <c r="J24" s="42">
        <v>16</v>
      </c>
      <c r="K24" s="42"/>
      <c r="L24" s="12"/>
    </row>
    <row r="25" spans="1:12" ht="15">
      <c r="A25" s="274" t="s">
        <v>34</v>
      </c>
      <c r="B25" s="2">
        <f t="shared" si="0"/>
        <v>200</v>
      </c>
      <c r="C25" s="13"/>
      <c r="D25" s="42"/>
      <c r="E25" s="42"/>
      <c r="F25" s="42"/>
      <c r="G25" s="42">
        <v>64</v>
      </c>
      <c r="H25" s="42">
        <v>72</v>
      </c>
      <c r="I25" s="42"/>
      <c r="J25" s="42">
        <v>64</v>
      </c>
      <c r="K25" s="42"/>
      <c r="L25" s="12"/>
    </row>
    <row r="26" spans="1:12" ht="15">
      <c r="A26" s="6" t="s">
        <v>35</v>
      </c>
      <c r="B26" s="18">
        <f t="shared" si="0"/>
        <v>24</v>
      </c>
      <c r="C26" s="13"/>
      <c r="D26" s="42"/>
      <c r="E26" s="42"/>
      <c r="F26" s="42"/>
      <c r="G26" s="42">
        <v>24</v>
      </c>
      <c r="H26" s="42"/>
      <c r="I26" s="42"/>
      <c r="J26" s="42"/>
      <c r="K26" s="42"/>
      <c r="L26" s="12"/>
    </row>
    <row r="27" spans="1:12" ht="15">
      <c r="A27" s="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7"/>
    </row>
    <row r="28" spans="1:12" ht="15.75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5">
      <c r="A29" s="291" t="s">
        <v>2</v>
      </c>
      <c r="B29" s="290">
        <f>SUM(B4:B28)</f>
        <v>2726</v>
      </c>
      <c r="G29" s="77">
        <f>SUM(G4:G28)</f>
        <v>736</v>
      </c>
      <c r="H29" s="77">
        <f>SUM(H4:H28)</f>
        <v>120</v>
      </c>
      <c r="I29" s="77"/>
      <c r="J29" s="77">
        <f>SUM(J4:J28)</f>
        <v>1544</v>
      </c>
      <c r="K29" s="77"/>
      <c r="L29" s="77">
        <f>SUM(L4:L28)</f>
        <v>326</v>
      </c>
    </row>
    <row r="30" spans="1:12" ht="15">
      <c r="A30" s="186" t="s">
        <v>385</v>
      </c>
      <c r="B30" s="327">
        <f>B29/40</f>
        <v>68.15</v>
      </c>
      <c r="C30" s="63"/>
      <c r="D30" s="63"/>
      <c r="E30" s="63"/>
      <c r="F30" s="63"/>
      <c r="G30" s="231">
        <f>G29/40</f>
        <v>18.4</v>
      </c>
      <c r="H30" s="231">
        <f aca="true" t="shared" si="1" ref="H30:L30">H29/40</f>
        <v>3</v>
      </c>
      <c r="I30" s="231"/>
      <c r="J30" s="231">
        <f t="shared" si="1"/>
        <v>38.6</v>
      </c>
      <c r="K30" s="231"/>
      <c r="L30" s="231">
        <f t="shared" si="1"/>
        <v>8.15</v>
      </c>
    </row>
    <row r="31" spans="1:12" ht="15">
      <c r="A31" s="328" t="s">
        <v>360</v>
      </c>
      <c r="B31" s="329">
        <f>B30/44</f>
        <v>1.5488636363636366</v>
      </c>
      <c r="C31" s="63"/>
      <c r="D31" s="63"/>
      <c r="E31" s="63"/>
      <c r="F31" s="63"/>
      <c r="G31" s="231">
        <f>G30/44</f>
        <v>0.41818181818181815</v>
      </c>
      <c r="H31" s="231">
        <f aca="true" t="shared" si="2" ref="H31:L31">H30/44</f>
        <v>0.06818181818181818</v>
      </c>
      <c r="I31" s="231"/>
      <c r="J31" s="231">
        <f t="shared" si="2"/>
        <v>0.8772727272727273</v>
      </c>
      <c r="K31" s="231"/>
      <c r="L31" s="231">
        <f t="shared" si="2"/>
        <v>0.18522727272727274</v>
      </c>
    </row>
    <row r="32" spans="1:12" ht="15">
      <c r="A32" s="328" t="s">
        <v>467</v>
      </c>
      <c r="B32" s="63"/>
      <c r="C32" s="63"/>
      <c r="D32" s="63"/>
      <c r="E32" s="63"/>
      <c r="F32" s="63"/>
      <c r="G32" s="352">
        <v>3.153</v>
      </c>
      <c r="H32" s="352">
        <v>2.095</v>
      </c>
      <c r="I32" s="352"/>
      <c r="J32" s="352">
        <v>1.942</v>
      </c>
      <c r="K32" s="352"/>
      <c r="L32" s="352">
        <v>1.467</v>
      </c>
    </row>
    <row r="33" spans="1:12" ht="15">
      <c r="A33" s="328" t="s">
        <v>468</v>
      </c>
      <c r="B33" s="63">
        <v>1.0175</v>
      </c>
      <c r="C33" s="63"/>
      <c r="D33" s="63"/>
      <c r="E33" s="63"/>
      <c r="F33" s="63"/>
      <c r="G33" s="352">
        <f>G32*B$33</f>
        <v>3.2081775</v>
      </c>
      <c r="H33" s="352">
        <f>H32*B$33</f>
        <v>2.1316625000000005</v>
      </c>
      <c r="I33" s="352"/>
      <c r="J33" s="352">
        <f>J32*B$33</f>
        <v>1.975985</v>
      </c>
      <c r="K33" s="352"/>
      <c r="L33" s="352">
        <f>L32*B$33</f>
        <v>1.4926725000000003</v>
      </c>
    </row>
    <row r="34" spans="1:12" ht="15">
      <c r="A34" s="328" t="s">
        <v>470</v>
      </c>
      <c r="B34" s="222">
        <f>SUM(G34:L34)</f>
        <v>153.863755375</v>
      </c>
      <c r="G34" s="188">
        <f>G33*G30</f>
        <v>59.030466</v>
      </c>
      <c r="H34" s="188">
        <f>H33*H30</f>
        <v>6.394987500000001</v>
      </c>
      <c r="I34" s="188"/>
      <c r="J34" s="188">
        <f>J33*J30</f>
        <v>76.273021</v>
      </c>
      <c r="K34" s="188"/>
      <c r="L34" s="188">
        <f>L33*L30</f>
        <v>12.165280875000002</v>
      </c>
    </row>
    <row r="35" spans="1:12" ht="15">
      <c r="A35" s="328"/>
      <c r="G35" s="188"/>
      <c r="H35" s="188"/>
      <c r="I35" s="188"/>
      <c r="J35" s="188"/>
      <c r="K35" s="188"/>
      <c r="L35" s="188"/>
    </row>
    <row r="36" spans="1:12" ht="15">
      <c r="A36" s="328" t="s">
        <v>469</v>
      </c>
      <c r="B36" s="320">
        <f>SUM(G36:L36)</f>
        <v>151.285</v>
      </c>
      <c r="C36" s="63"/>
      <c r="D36" s="63"/>
      <c r="E36" s="63"/>
      <c r="F36" s="63"/>
      <c r="G36" s="352">
        <v>58.019</v>
      </c>
      <c r="H36" s="352">
        <v>6.285</v>
      </c>
      <c r="I36" s="352"/>
      <c r="J36" s="352">
        <v>74.949</v>
      </c>
      <c r="K36" s="352"/>
      <c r="L36" s="352">
        <v>12.032</v>
      </c>
    </row>
    <row r="37" spans="1:3" ht="15">
      <c r="A37" s="250" t="s">
        <v>153</v>
      </c>
      <c r="B37" s="353">
        <v>35</v>
      </c>
      <c r="C37" s="40" t="s">
        <v>371</v>
      </c>
    </row>
    <row r="39" spans="1:2" ht="15">
      <c r="A39" s="250" t="s">
        <v>323</v>
      </c>
      <c r="B39" s="68">
        <f ca="1">SUM(B36:B39)</f>
        <v>0</v>
      </c>
    </row>
    <row r="42" ht="15">
      <c r="D42" s="63"/>
    </row>
  </sheetData>
  <mergeCells count="2">
    <mergeCell ref="A1:L1"/>
    <mergeCell ref="C2:L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 topLeftCell="A4">
      <selection activeCell="K29" sqref="K29"/>
    </sheetView>
  </sheetViews>
  <sheetFormatPr defaultColWidth="8.8515625" defaultRowHeight="15"/>
  <cols>
    <col min="1" max="1" width="33.7109375" style="40" bestFit="1" customWidth="1"/>
    <col min="2" max="2" width="8.8515625" style="40" customWidth="1"/>
    <col min="3" max="3" width="10.00390625" style="40" customWidth="1"/>
    <col min="4" max="4" width="6.8515625" style="40" bestFit="1" customWidth="1"/>
    <col min="5" max="5" width="8.8515625" style="40" customWidth="1"/>
    <col min="6" max="6" width="9.140625" style="40" bestFit="1" customWidth="1"/>
    <col min="7" max="7" width="9.00390625" style="40" bestFit="1" customWidth="1"/>
    <col min="8" max="8" width="12.28125" style="40" bestFit="1" customWidth="1"/>
    <col min="9" max="10" width="10.00390625" style="40" bestFit="1" customWidth="1"/>
    <col min="11" max="11" width="10.7109375" style="40" bestFit="1" customWidth="1"/>
    <col min="12" max="12" width="11.7109375" style="40" bestFit="1" customWidth="1"/>
    <col min="13" max="16384" width="8.8515625" style="40" customWidth="1"/>
  </cols>
  <sheetData>
    <row r="1" spans="1:12" ht="23.25">
      <c r="A1" s="465" t="s">
        <v>76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</row>
    <row r="2" spans="1:12" ht="15">
      <c r="A2" s="8" t="s">
        <v>0</v>
      </c>
      <c r="B2" s="3"/>
      <c r="C2" s="470" t="s">
        <v>1</v>
      </c>
      <c r="D2" s="471"/>
      <c r="E2" s="471"/>
      <c r="F2" s="471"/>
      <c r="G2" s="471"/>
      <c r="H2" s="471"/>
      <c r="I2" s="471"/>
      <c r="J2" s="471"/>
      <c r="K2" s="471"/>
      <c r="L2" s="472"/>
    </row>
    <row r="3" spans="1:12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61" t="s">
        <v>7</v>
      </c>
      <c r="G3" s="61" t="s">
        <v>80</v>
      </c>
      <c r="H3" s="61" t="s">
        <v>81</v>
      </c>
      <c r="I3" s="61" t="s">
        <v>9</v>
      </c>
      <c r="J3" s="61" t="s">
        <v>10</v>
      </c>
      <c r="K3" s="61" t="s">
        <v>11</v>
      </c>
      <c r="L3" s="10" t="s">
        <v>12</v>
      </c>
    </row>
    <row r="4" spans="1:12" ht="15">
      <c r="A4" s="6" t="s">
        <v>79</v>
      </c>
      <c r="B4" s="18">
        <f>SUM(C4:L4)</f>
        <v>4680</v>
      </c>
      <c r="C4" s="13"/>
      <c r="D4" s="42"/>
      <c r="E4" s="42"/>
      <c r="F4" s="65">
        <v>120</v>
      </c>
      <c r="G4" s="65">
        <f>15*40</f>
        <v>600</v>
      </c>
      <c r="H4" s="65">
        <v>40</v>
      </c>
      <c r="I4" s="65">
        <f>20*40</f>
        <v>800</v>
      </c>
      <c r="J4" s="65">
        <f>18*40</f>
        <v>720</v>
      </c>
      <c r="K4" s="65">
        <f>60*40</f>
        <v>2400</v>
      </c>
      <c r="L4" s="12"/>
    </row>
    <row r="5" spans="1:12" ht="15">
      <c r="A5" s="6"/>
      <c r="B5" s="41"/>
      <c r="C5" s="41"/>
      <c r="D5" s="41"/>
      <c r="E5" s="41"/>
      <c r="F5" s="66"/>
      <c r="G5" s="66"/>
      <c r="H5" s="66"/>
      <c r="I5" s="66"/>
      <c r="J5" s="66"/>
      <c r="K5" s="66"/>
      <c r="L5" s="7"/>
    </row>
    <row r="6" spans="1:12" ht="15.75" thickBot="1">
      <c r="A6" s="14" t="s">
        <v>2</v>
      </c>
      <c r="B6" s="17">
        <f>SUM(B4:B4)</f>
        <v>4680</v>
      </c>
      <c r="C6" s="15"/>
      <c r="D6" s="15"/>
      <c r="E6" s="15"/>
      <c r="F6" s="67"/>
      <c r="G6" s="67"/>
      <c r="H6" s="67"/>
      <c r="I6" s="67"/>
      <c r="J6" s="67"/>
      <c r="K6" s="67"/>
      <c r="L6" s="16"/>
    </row>
    <row r="7" spans="1:11" ht="15">
      <c r="A7" s="70" t="s">
        <v>135</v>
      </c>
      <c r="B7" s="76">
        <f>B4/40</f>
        <v>117</v>
      </c>
      <c r="F7" s="64"/>
      <c r="G7" s="64">
        <f aca="true" t="shared" si="0" ref="G7:K7">G4/40</f>
        <v>15</v>
      </c>
      <c r="H7" s="64">
        <f t="shared" si="0"/>
        <v>1</v>
      </c>
      <c r="I7" s="64">
        <f t="shared" si="0"/>
        <v>20</v>
      </c>
      <c r="J7" s="64">
        <f t="shared" si="0"/>
        <v>18</v>
      </c>
      <c r="K7" s="64">
        <f t="shared" si="0"/>
        <v>60</v>
      </c>
    </row>
    <row r="8" spans="1:11" ht="15">
      <c r="A8" s="189" t="s">
        <v>273</v>
      </c>
      <c r="B8" s="56"/>
      <c r="F8" s="40">
        <v>2.479</v>
      </c>
      <c r="G8" s="40">
        <v>2.49</v>
      </c>
      <c r="H8" s="40">
        <v>2.479</v>
      </c>
      <c r="I8" s="40">
        <v>2.073</v>
      </c>
      <c r="J8" s="40">
        <v>1.985</v>
      </c>
      <c r="K8" s="40">
        <v>1.843</v>
      </c>
    </row>
    <row r="9" spans="1:11" ht="15">
      <c r="A9" s="189" t="s">
        <v>210</v>
      </c>
      <c r="B9" s="190">
        <f>SUM(F9:K9)</f>
        <v>235.01600000000002</v>
      </c>
      <c r="F9" s="56">
        <v>7.438</v>
      </c>
      <c r="G9" s="56">
        <v>37.347</v>
      </c>
      <c r="H9" s="56">
        <v>2.479</v>
      </c>
      <c r="I9" s="56">
        <v>41.467</v>
      </c>
      <c r="J9" s="56">
        <v>35.727</v>
      </c>
      <c r="K9" s="56">
        <v>110.558</v>
      </c>
    </row>
    <row r="10" spans="1:11" ht="15">
      <c r="A10" s="189" t="s">
        <v>322</v>
      </c>
      <c r="B10" s="235">
        <v>48</v>
      </c>
      <c r="F10" s="68"/>
      <c r="G10" s="68"/>
      <c r="H10" s="68"/>
      <c r="I10" s="68"/>
      <c r="J10" s="68"/>
      <c r="K10" s="68"/>
    </row>
    <row r="11" spans="1:11" ht="15">
      <c r="A11" s="189" t="s">
        <v>323</v>
      </c>
      <c r="B11" s="190">
        <f>SUM(B9:B10)</f>
        <v>283.016</v>
      </c>
      <c r="F11" s="68"/>
      <c r="G11" s="68"/>
      <c r="H11" s="68"/>
      <c r="I11" s="68"/>
      <c r="J11" s="68"/>
      <c r="K11" s="68"/>
    </row>
    <row r="12" ht="15">
      <c r="B12" s="40" t="s">
        <v>127</v>
      </c>
    </row>
    <row r="13" ht="15">
      <c r="F13" t="s">
        <v>128</v>
      </c>
    </row>
    <row r="14" ht="15">
      <c r="F14"/>
    </row>
    <row r="15" spans="6:16" ht="15">
      <c r="F15" t="s">
        <v>129</v>
      </c>
      <c r="P15" s="40" t="s">
        <v>134</v>
      </c>
    </row>
    <row r="16" ht="15">
      <c r="F16"/>
    </row>
    <row r="17" spans="6:8" ht="15">
      <c r="F17" s="191" t="s">
        <v>130</v>
      </c>
      <c r="G17" s="192"/>
      <c r="H17" s="192"/>
    </row>
    <row r="18" spans="6:8" ht="15">
      <c r="F18" s="192"/>
      <c r="G18" s="192"/>
      <c r="H18" s="192"/>
    </row>
    <row r="19" spans="6:8" ht="15">
      <c r="F19" s="192" t="s">
        <v>131</v>
      </c>
      <c r="G19" s="192"/>
      <c r="H19" s="192"/>
    </row>
    <row r="20" spans="6:8" ht="15">
      <c r="F20" s="192"/>
      <c r="G20" s="192"/>
      <c r="H20" s="192"/>
    </row>
    <row r="21" spans="6:8" ht="15">
      <c r="F21" s="192" t="s">
        <v>132</v>
      </c>
      <c r="G21" s="192"/>
      <c r="H21" s="192"/>
    </row>
    <row r="22" spans="6:8" ht="15">
      <c r="F22" s="192"/>
      <c r="G22" s="192"/>
      <c r="H22" s="192"/>
    </row>
    <row r="23" spans="6:8" ht="15">
      <c r="F23" s="192" t="s">
        <v>133</v>
      </c>
      <c r="G23" s="192"/>
      <c r="H23" s="192"/>
    </row>
    <row r="26" ht="15">
      <c r="B26" s="33" t="s">
        <v>303</v>
      </c>
    </row>
    <row r="27" ht="15">
      <c r="C27" s="40">
        <v>1.0175</v>
      </c>
    </row>
    <row r="28" spans="2:10" ht="60">
      <c r="B28" s="293" t="s">
        <v>458</v>
      </c>
      <c r="C28" s="293" t="s">
        <v>466</v>
      </c>
      <c r="D28" s="193" t="s">
        <v>299</v>
      </c>
      <c r="E28" s="193" t="s">
        <v>300</v>
      </c>
      <c r="F28" s="193" t="s">
        <v>301</v>
      </c>
      <c r="G28" s="193" t="s">
        <v>135</v>
      </c>
      <c r="H28" s="193" t="s">
        <v>302</v>
      </c>
      <c r="I28" s="193" t="s">
        <v>453</v>
      </c>
      <c r="J28" s="193" t="s">
        <v>454</v>
      </c>
    </row>
    <row r="29" spans="1:10" ht="15">
      <c r="A29" s="314"/>
      <c r="B29" s="188">
        <v>2.437</v>
      </c>
      <c r="C29" s="222">
        <f>B29*C$27</f>
        <v>2.4796475</v>
      </c>
      <c r="D29" s="40" t="s">
        <v>342</v>
      </c>
      <c r="E29" s="40" t="s">
        <v>76</v>
      </c>
      <c r="G29" s="40">
        <v>6.5</v>
      </c>
      <c r="H29" s="40">
        <v>0.148</v>
      </c>
      <c r="I29" s="188">
        <v>15.842</v>
      </c>
      <c r="J29" s="222">
        <f>C29*G29</f>
        <v>16.11770875</v>
      </c>
    </row>
    <row r="30" spans="2:10" ht="15">
      <c r="B30" s="188">
        <v>2.49</v>
      </c>
      <c r="C30" s="222">
        <f aca="true" t="shared" si="1" ref="C30:C34">B30*C$27</f>
        <v>2.5335750000000004</v>
      </c>
      <c r="D30" s="40" t="s">
        <v>343</v>
      </c>
      <c r="E30" s="40" t="s">
        <v>76</v>
      </c>
      <c r="G30" s="40">
        <v>4.5</v>
      </c>
      <c r="H30" s="40">
        <v>0.102</v>
      </c>
      <c r="I30" s="188">
        <v>11.207</v>
      </c>
      <c r="J30" s="222">
        <f aca="true" t="shared" si="2" ref="J30:J34">C30*G30</f>
        <v>11.401087500000001</v>
      </c>
    </row>
    <row r="31" spans="2:10" ht="15">
      <c r="B31" s="188">
        <v>2.445</v>
      </c>
      <c r="C31" s="222">
        <f t="shared" si="1"/>
        <v>2.4877875</v>
      </c>
      <c r="D31" s="40" t="s">
        <v>344</v>
      </c>
      <c r="E31" s="40" t="s">
        <v>76</v>
      </c>
      <c r="G31" s="40">
        <v>10</v>
      </c>
      <c r="H31" s="40">
        <v>0.227</v>
      </c>
      <c r="I31" s="188">
        <v>24.452</v>
      </c>
      <c r="J31" s="222">
        <f t="shared" si="2"/>
        <v>24.877875</v>
      </c>
    </row>
    <row r="32" spans="2:10" ht="15">
      <c r="B32" s="188">
        <v>1.24</v>
      </c>
      <c r="C32" s="222">
        <f t="shared" si="1"/>
        <v>1.2617</v>
      </c>
      <c r="D32" s="40" t="s">
        <v>344</v>
      </c>
      <c r="E32" s="40" t="s">
        <v>76</v>
      </c>
      <c r="G32" s="40">
        <v>54</v>
      </c>
      <c r="H32" s="40">
        <v>1.227</v>
      </c>
      <c r="I32" s="188">
        <v>66.934</v>
      </c>
      <c r="J32" s="222">
        <f t="shared" si="2"/>
        <v>68.1318</v>
      </c>
    </row>
    <row r="33" spans="2:10" ht="15">
      <c r="B33" s="188">
        <v>2.786</v>
      </c>
      <c r="C33" s="222">
        <f t="shared" si="1"/>
        <v>2.8347550000000004</v>
      </c>
      <c r="D33" s="40" t="s">
        <v>345</v>
      </c>
      <c r="E33" s="40" t="s">
        <v>76</v>
      </c>
      <c r="G33" s="40">
        <v>1.5</v>
      </c>
      <c r="H33" s="40">
        <v>0.034</v>
      </c>
      <c r="I33" s="188">
        <v>4.179</v>
      </c>
      <c r="J33" s="222">
        <f t="shared" si="2"/>
        <v>4.2521325</v>
      </c>
    </row>
    <row r="34" spans="2:10" ht="15">
      <c r="B34" s="188">
        <v>1.972</v>
      </c>
      <c r="C34" s="222">
        <f t="shared" si="1"/>
        <v>2.00651</v>
      </c>
      <c r="D34" s="40" t="s">
        <v>346</v>
      </c>
      <c r="E34" s="40" t="s">
        <v>76</v>
      </c>
      <c r="G34" s="81">
        <v>10</v>
      </c>
      <c r="H34" s="81">
        <v>0.227</v>
      </c>
      <c r="I34" s="260">
        <v>19.72</v>
      </c>
      <c r="J34" s="348">
        <f t="shared" si="2"/>
        <v>20.0651</v>
      </c>
    </row>
    <row r="35" spans="6:10" ht="15">
      <c r="F35" s="33">
        <f>SUM(G29:G34)</f>
        <v>86.5</v>
      </c>
      <c r="G35" s="251">
        <f>SUM(H29:H34)</f>
        <v>1.9650000000000003</v>
      </c>
      <c r="H35" s="350">
        <f>SUM(H29:H34)</f>
        <v>1.9650000000000003</v>
      </c>
      <c r="I35" s="351">
        <f>SUM(I29:I34)</f>
        <v>142.334</v>
      </c>
      <c r="J35" s="222">
        <f>SUM(J29:J34)</f>
        <v>144.84570374999998</v>
      </c>
    </row>
    <row r="36" spans="2:8" ht="15">
      <c r="B36" s="33" t="s">
        <v>304</v>
      </c>
      <c r="H36" s="188"/>
    </row>
    <row r="37" ht="15">
      <c r="H37" s="188"/>
    </row>
    <row r="38" spans="5:9" ht="15">
      <c r="E38" s="40" t="s">
        <v>347</v>
      </c>
      <c r="I38" s="320">
        <v>48</v>
      </c>
    </row>
    <row r="39" ht="15">
      <c r="H39" s="188"/>
    </row>
    <row r="40" spans="4:8" ht="15">
      <c r="D40" s="63"/>
      <c r="H40" s="188"/>
    </row>
    <row r="41" ht="15">
      <c r="H41" s="188"/>
    </row>
    <row r="42" spans="7:8" ht="15">
      <c r="G42" s="33" t="s">
        <v>305</v>
      </c>
      <c r="H42" s="317">
        <f>SUM(H35+I38)</f>
        <v>49.965</v>
      </c>
    </row>
  </sheetData>
  <mergeCells count="2">
    <mergeCell ref="A1:L1"/>
    <mergeCell ref="C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Science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Gubeli</dc:creator>
  <cp:keywords/>
  <dc:description/>
  <cp:lastModifiedBy>Mathew Poelker</cp:lastModifiedBy>
  <cp:lastPrinted>2015-04-29T16:58:20Z</cp:lastPrinted>
  <dcterms:created xsi:type="dcterms:W3CDTF">2014-07-21T13:12:47Z</dcterms:created>
  <dcterms:modified xsi:type="dcterms:W3CDTF">2016-01-14T16:32:08Z</dcterms:modified>
  <cp:category/>
  <cp:version/>
  <cp:contentType/>
  <cp:contentStatus/>
</cp:coreProperties>
</file>