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J:\Hall  D\KLong\"/>
    </mc:Choice>
  </mc:AlternateContent>
  <bookViews>
    <workbookView xWindow="0" yWindow="0" windowWidth="19040" windowHeight="8750" activeTab="2"/>
  </bookViews>
  <sheets>
    <sheet name="Installation" sheetId="1" r:id="rId1"/>
    <sheet name="Design and procure" sheetId="2" r:id="rId2"/>
    <sheet name="Pavel Material 75" sheetId="6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H29" i="1"/>
  <c r="H20" i="1"/>
  <c r="F20" i="1"/>
  <c r="E20" i="1"/>
  <c r="I16" i="1"/>
  <c r="F8" i="1"/>
  <c r="E8" i="1"/>
  <c r="F7" i="1"/>
  <c r="E7" i="1"/>
  <c r="B28" i="2"/>
  <c r="F19" i="2"/>
  <c r="E19" i="2"/>
  <c r="G12" i="6" l="1"/>
  <c r="C24" i="6" l="1"/>
  <c r="G23" i="6"/>
  <c r="G22" i="6"/>
  <c r="G21" i="6"/>
  <c r="G20" i="6"/>
  <c r="G19" i="6"/>
  <c r="G18" i="6"/>
  <c r="G17" i="6"/>
  <c r="D17" i="6"/>
  <c r="G16" i="6"/>
  <c r="G15" i="6"/>
  <c r="G14" i="6"/>
  <c r="G13" i="6"/>
  <c r="G11" i="6"/>
  <c r="G10" i="6"/>
  <c r="D9" i="6"/>
  <c r="B9" i="6" s="1"/>
  <c r="G9" i="6" s="1"/>
  <c r="K9" i="6" s="1"/>
  <c r="L9" i="6" s="1"/>
  <c r="G8" i="6"/>
  <c r="K8" i="6" s="1"/>
  <c r="L8" i="6" s="1"/>
  <c r="E8" i="6"/>
  <c r="D8" i="6"/>
  <c r="E7" i="6"/>
  <c r="G7" i="6" s="1"/>
  <c r="K7" i="6" s="1"/>
  <c r="L7" i="6" s="1"/>
  <c r="D7" i="6"/>
  <c r="D6" i="6"/>
  <c r="B6" i="6"/>
  <c r="F6" i="6" s="1"/>
  <c r="G6" i="6" s="1"/>
  <c r="K6" i="6" s="1"/>
  <c r="L6" i="6" s="1"/>
  <c r="G5" i="6"/>
  <c r="K5" i="6" s="1"/>
  <c r="L5" i="6" s="1"/>
  <c r="D5" i="6"/>
  <c r="B5" i="6"/>
  <c r="D4" i="6"/>
  <c r="B4" i="6"/>
  <c r="G3" i="6"/>
  <c r="K3" i="6" s="1"/>
  <c r="L3" i="6" s="1"/>
  <c r="D3" i="6"/>
  <c r="G4" i="6" l="1"/>
  <c r="K4" i="6" s="1"/>
  <c r="L4" i="6" s="1"/>
  <c r="D24" i="6"/>
  <c r="F28" i="1"/>
  <c r="E28" i="1"/>
  <c r="G25" i="6" l="1"/>
  <c r="G24" i="6"/>
  <c r="F14" i="2" l="1"/>
  <c r="E14" i="2"/>
  <c r="F27" i="1"/>
  <c r="E27" i="1"/>
  <c r="H27" i="1"/>
  <c r="B29" i="2"/>
  <c r="F26" i="2" l="1"/>
  <c r="E26" i="2"/>
  <c r="G11" i="2"/>
  <c r="G28" i="2"/>
  <c r="F9" i="2"/>
  <c r="F28" i="2" s="1"/>
  <c r="E9" i="2"/>
  <c r="F25" i="2"/>
  <c r="E25" i="2"/>
  <c r="F24" i="2"/>
  <c r="E24" i="2"/>
  <c r="F23" i="2"/>
  <c r="E23" i="2"/>
  <c r="F22" i="2"/>
  <c r="E22" i="2"/>
  <c r="F21" i="2"/>
  <c r="E21" i="2"/>
  <c r="F20" i="2"/>
  <c r="E20" i="2"/>
  <c r="F18" i="2"/>
  <c r="E18" i="2"/>
  <c r="F17" i="2"/>
  <c r="E17" i="2"/>
  <c r="F16" i="2"/>
  <c r="E16" i="2"/>
  <c r="F15" i="2"/>
  <c r="E15" i="2"/>
  <c r="F13" i="2"/>
  <c r="E13" i="2"/>
  <c r="F12" i="2"/>
  <c r="E12" i="2"/>
  <c r="F11" i="2"/>
  <c r="E11" i="2"/>
  <c r="F8" i="2"/>
  <c r="E8" i="2"/>
  <c r="F7" i="2"/>
  <c r="E7" i="2"/>
  <c r="F6" i="2"/>
  <c r="E6" i="2"/>
  <c r="F5" i="2"/>
  <c r="E5" i="2"/>
  <c r="E28" i="2" l="1"/>
  <c r="B31" i="2" s="1"/>
  <c r="B30" i="2"/>
  <c r="H31" i="1"/>
  <c r="F29" i="1"/>
  <c r="E29" i="1"/>
  <c r="G31" i="1"/>
  <c r="F26" i="1"/>
  <c r="B31" i="1"/>
  <c r="B32" i="1" s="1"/>
  <c r="E26" i="1"/>
  <c r="H25" i="1"/>
  <c r="F25" i="1"/>
  <c r="E25" i="1"/>
  <c r="F24" i="1"/>
  <c r="E24" i="1"/>
  <c r="H22" i="1"/>
  <c r="F23" i="1"/>
  <c r="F22" i="1"/>
  <c r="E23" i="1"/>
  <c r="E22" i="1"/>
  <c r="F21" i="1"/>
  <c r="E21" i="1"/>
  <c r="F19" i="1"/>
  <c r="E19" i="1"/>
  <c r="F18" i="1"/>
  <c r="E18" i="1"/>
  <c r="F17" i="1"/>
  <c r="E17" i="1"/>
  <c r="H17" i="1"/>
  <c r="F16" i="1"/>
  <c r="E16" i="1"/>
  <c r="F15" i="1"/>
  <c r="H14" i="1"/>
  <c r="H13" i="1"/>
  <c r="G12" i="1"/>
  <c r="E15" i="1"/>
  <c r="E14" i="1"/>
  <c r="F14" i="1"/>
  <c r="F13" i="1"/>
  <c r="E13" i="1"/>
  <c r="F12" i="1"/>
  <c r="E12" i="1"/>
  <c r="F10" i="1"/>
  <c r="E10" i="1"/>
  <c r="F9" i="1"/>
  <c r="E9" i="1"/>
  <c r="F6" i="1"/>
  <c r="E6" i="1"/>
  <c r="F5" i="1"/>
  <c r="E5" i="1"/>
  <c r="E31" i="1" l="1"/>
  <c r="B34" i="1" s="1"/>
  <c r="F31" i="1"/>
  <c r="B33" i="1" s="1"/>
  <c r="B36" i="1" s="1"/>
</calcChain>
</file>

<file path=xl/sharedStrings.xml><?xml version="1.0" encoding="utf-8"?>
<sst xmlns="http://schemas.openxmlformats.org/spreadsheetml/2006/main" count="149" uniqueCount="117">
  <si>
    <t>KLONG CPS Installation</t>
  </si>
  <si>
    <t>Task</t>
  </si>
  <si>
    <t>Duration</t>
  </si>
  <si>
    <t>Eng</t>
  </si>
  <si>
    <t>Tech</t>
  </si>
  <si>
    <t>FTE</t>
  </si>
  <si>
    <t>#</t>
  </si>
  <si>
    <t>Days</t>
  </si>
  <si>
    <t>Remove old equipment</t>
  </si>
  <si>
    <t xml:space="preserve">      Crates</t>
  </si>
  <si>
    <t xml:space="preserve">      microscope</t>
  </si>
  <si>
    <t xml:space="preserve">      Hodoscope</t>
  </si>
  <si>
    <t xml:space="preserve">      Beamline</t>
  </si>
  <si>
    <t>Install CPS</t>
  </si>
  <si>
    <t xml:space="preserve">      Install Concrete Base</t>
  </si>
  <si>
    <t xml:space="preserve">      Install rails</t>
  </si>
  <si>
    <t xml:space="preserve">      Install support structure</t>
  </si>
  <si>
    <t xml:space="preserve">      Survey and alignment</t>
  </si>
  <si>
    <t xml:space="preserve">      Install partial shielding</t>
  </si>
  <si>
    <t xml:space="preserve">      Test Magnets</t>
  </si>
  <si>
    <t>Facilities</t>
  </si>
  <si>
    <t>S&amp;A</t>
  </si>
  <si>
    <t xml:space="preserve">      Install Perm Magnet</t>
  </si>
  <si>
    <t xml:space="preserve">      Install beamline &amp; windows</t>
  </si>
  <si>
    <t xml:space="preserve">      Install remaining shielding</t>
  </si>
  <si>
    <t>Duration in months</t>
  </si>
  <si>
    <t>Totals</t>
  </si>
  <si>
    <t>Techs required for duration (ave)</t>
  </si>
  <si>
    <t>Eng required for duration (ave)</t>
  </si>
  <si>
    <t xml:space="preserve">      Final Survey</t>
  </si>
  <si>
    <t>KLONG CPS Design</t>
  </si>
  <si>
    <t>Design  new beamline</t>
  </si>
  <si>
    <t>Des</t>
  </si>
  <si>
    <t xml:space="preserve">      Perm Magnet setup</t>
  </si>
  <si>
    <t xml:space="preserve">      Vacuum pump setup</t>
  </si>
  <si>
    <t xml:space="preserve"> </t>
  </si>
  <si>
    <t xml:space="preserve">      Beamline layout</t>
  </si>
  <si>
    <t xml:space="preserve">     Final  Beamline drawings</t>
  </si>
  <si>
    <t xml:space="preserve">     Component procurement</t>
  </si>
  <si>
    <t>Design CPS</t>
  </si>
  <si>
    <t xml:space="preserve">     Design Concrete Base</t>
  </si>
  <si>
    <t xml:space="preserve">     Design rails</t>
  </si>
  <si>
    <t xml:space="preserve">      Design support structure/strongback</t>
  </si>
  <si>
    <t xml:space="preserve">     Design magnets</t>
  </si>
  <si>
    <t xml:space="preserve">     Procure Magnets and  Power Supplies</t>
  </si>
  <si>
    <t xml:space="preserve">      Design radiator</t>
  </si>
  <si>
    <t xml:space="preserve">     Design shielding</t>
  </si>
  <si>
    <t xml:space="preserve">      Design alignment system</t>
  </si>
  <si>
    <t xml:space="preserve">      Design cooling system</t>
  </si>
  <si>
    <t xml:space="preserve">      Procure all shileding components</t>
  </si>
  <si>
    <t xml:space="preserve">      Procure rails, strongback and cooling</t>
  </si>
  <si>
    <t xml:space="preserve">      Procure radiator components</t>
  </si>
  <si>
    <t>Des required for duration (ave)</t>
  </si>
  <si>
    <t>Component</t>
  </si>
  <si>
    <t>qty</t>
  </si>
  <si>
    <t>Lbs</t>
  </si>
  <si>
    <t>cost ea $</t>
  </si>
  <si>
    <t>Fab cost  $</t>
  </si>
  <si>
    <t>Total cost $</t>
  </si>
  <si>
    <t>cost $/lb</t>
  </si>
  <si>
    <t>Copper absorber</t>
  </si>
  <si>
    <t>small blocks (25 lbs ea)</t>
  </si>
  <si>
    <t>2x4x8 inch^3 bricks (26 lbs ea)</t>
  </si>
  <si>
    <t>based on quote from last year</t>
  </si>
  <si>
    <t>borated poly sheets</t>
  </si>
  <si>
    <t>1"x48"x96" (160 lbs ea)</t>
  </si>
  <si>
    <t>Support Structure</t>
  </si>
  <si>
    <t>Rail System</t>
  </si>
  <si>
    <t>Water Cooling System</t>
  </si>
  <si>
    <t>Magnet</t>
  </si>
  <si>
    <t>Power Supply</t>
  </si>
  <si>
    <t>Total Materials</t>
  </si>
  <si>
    <t>estimate from Everson Tesla</t>
  </si>
  <si>
    <t>Concrete pier</t>
  </si>
  <si>
    <t>Techs with overhead for safety and training</t>
  </si>
  <si>
    <t>Radiator (3 position remotely)</t>
  </si>
  <si>
    <t>Machining of shielding components</t>
  </si>
  <si>
    <t xml:space="preserve">     Installation Drawings</t>
  </si>
  <si>
    <t>PLC modules and shielding</t>
  </si>
  <si>
    <t>Temperature sensors and wires</t>
  </si>
  <si>
    <t>Vacuum Pump and controllers</t>
  </si>
  <si>
    <t xml:space="preserve">      Install New Girder</t>
  </si>
  <si>
    <t xml:space="preserve">      Design adjustment system</t>
  </si>
  <si>
    <t>Adjustment components</t>
  </si>
  <si>
    <t>Magnet 1.0; Cu 1.45; WCu 0.23; FeCore 1.56; Pb 40.39; FeShield 17.56; BariteCPS 29.92; B.Poly 5.2 --&gt; CPStot 97.31 .</t>
  </si>
  <si>
    <t>Kg</t>
  </si>
  <si>
    <t>cost/kg</t>
  </si>
  <si>
    <t>based on 4 year old quote for tungsten x a factor 0f 1.2</t>
  </si>
  <si>
    <t>as manufactured in 2 sections</t>
  </si>
  <si>
    <t>based old Quote from manufacturer</t>
  </si>
  <si>
    <t>Iron core</t>
  </si>
  <si>
    <t>machined in several pieces</t>
  </si>
  <si>
    <t>Iron shield</t>
  </si>
  <si>
    <t>based on current material costs and machining</t>
  </si>
  <si>
    <t>WCu absorbers</t>
  </si>
  <si>
    <t>28kg blocks 4x8x16"</t>
  </si>
  <si>
    <t>based on material cost and guess at what it would take to fabricate</t>
  </si>
  <si>
    <t>Total for just absorber, magnet and shielding</t>
  </si>
  <si>
    <t>Barite concrete (CPS and beamline)</t>
  </si>
  <si>
    <t xml:space="preserve">      Setup and test controls</t>
  </si>
  <si>
    <t>Lead Bricks (painted)</t>
  </si>
  <si>
    <t>Lifting box (radiation containment portion)</t>
  </si>
  <si>
    <t>$190/ft^3</t>
  </si>
  <si>
    <t>Klong Compact Photon Source - Pavel 75 material</t>
  </si>
  <si>
    <t xml:space="preserve">     Design containment box</t>
  </si>
  <si>
    <t xml:space="preserve">      store cables</t>
  </si>
  <si>
    <t xml:space="preserve">      Permanent magnet (and store it)</t>
  </si>
  <si>
    <t xml:space="preserve">      Install magnet and test</t>
  </si>
  <si>
    <t xml:space="preserve">      Install Power Supply</t>
  </si>
  <si>
    <t xml:space="preserve">FTE </t>
  </si>
  <si>
    <t>EES</t>
  </si>
  <si>
    <t xml:space="preserve">      Enclose removable shielding box and align</t>
  </si>
  <si>
    <t xml:space="preserve">      Survey and Alignment intermediate step</t>
  </si>
  <si>
    <t xml:space="preserve">      Install/test cooling system</t>
  </si>
  <si>
    <t xml:space="preserve">      Install/test radiator</t>
  </si>
  <si>
    <t>Designer support</t>
  </si>
  <si>
    <t>Beamline Plus girder and windows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</si>
</sst>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2" fontId="1" fillId="0" borderId="0" xfId="0" applyNumberFormat="1" applyFont="1"/>
    <xf numFmtId="3" fontId="3" fillId="0" borderId="0" xfId="0" applyNumberFormat="1" applyFont="1"/>
    <xf numFmtId="0" fontId="2" fillId="0" borderId="0" xfId="0" applyFont="1"/>
    <xf numFmtId="2" fontId="2" fillId="0" borderId="0" xfId="0" applyNumberFormat="1" applyFont="1"/>
    <xf numFmtId="0" fontId="3" fillId="0" borderId="2" xfId="0" applyFont="1" applyBorder="1"/>
    <xf numFmtId="0" fontId="3" fillId="0" borderId="2" xfId="0" applyFont="1" applyFill="1" applyBorder="1"/>
    <xf numFmtId="0" fontId="3" fillId="0" borderId="8" xfId="0" applyFont="1" applyFill="1" applyBorder="1"/>
    <xf numFmtId="0" fontId="3" fillId="0" borderId="11" xfId="0" applyFont="1" applyFill="1" applyBorder="1"/>
    <xf numFmtId="0" fontId="4" fillId="0" borderId="0" xfId="0" applyFont="1"/>
    <xf numFmtId="0" fontId="5" fillId="0" borderId="0" xfId="0" applyFont="1"/>
    <xf numFmtId="0" fontId="3" fillId="0" borderId="0" xfId="0" applyFont="1"/>
    <xf numFmtId="3" fontId="3" fillId="2" borderId="0" xfId="0" applyNumberFormat="1" applyFont="1" applyFill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1" xfId="0" applyFont="1" applyBorder="1"/>
    <xf numFmtId="3" fontId="3" fillId="0" borderId="2" xfId="0" applyNumberFormat="1" applyFont="1" applyBorder="1"/>
    <xf numFmtId="3" fontId="3" fillId="0" borderId="3" xfId="0" applyNumberFormat="1" applyFont="1" applyBorder="1"/>
    <xf numFmtId="0" fontId="3" fillId="0" borderId="1" xfId="0" applyFont="1" applyFill="1" applyBorder="1"/>
    <xf numFmtId="3" fontId="3" fillId="0" borderId="3" xfId="0" applyNumberFormat="1" applyFont="1" applyFill="1" applyBorder="1"/>
    <xf numFmtId="0" fontId="3" fillId="0" borderId="10" xfId="0" applyFont="1" applyFill="1" applyBorder="1"/>
    <xf numFmtId="0" fontId="3" fillId="0" borderId="11" xfId="0" applyFont="1" applyBorder="1"/>
    <xf numFmtId="3" fontId="3" fillId="0" borderId="12" xfId="0" applyNumberFormat="1" applyFont="1" applyFill="1" applyBorder="1"/>
    <xf numFmtId="0" fontId="3" fillId="0" borderId="7" xfId="0" applyFont="1" applyFill="1" applyBorder="1"/>
    <xf numFmtId="0" fontId="3" fillId="0" borderId="8" xfId="0" applyFont="1" applyBorder="1"/>
    <xf numFmtId="3" fontId="3" fillId="0" borderId="9" xfId="0" applyNumberFormat="1" applyFont="1" applyFill="1" applyBorder="1"/>
    <xf numFmtId="0" fontId="3" fillId="2" borderId="0" xfId="0" applyFont="1" applyFill="1" applyBorder="1"/>
    <xf numFmtId="0" fontId="3" fillId="2" borderId="0" xfId="0" applyFont="1" applyFill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37"/>
  <sheetViews>
    <sheetView topLeftCell="A13" workbookViewId="0">
      <selection activeCell="B36" sqref="B36"/>
    </sheetView>
  </sheetViews>
  <sheetFormatPr defaultRowHeight="14.5" x14ac:dyDescent="0.35"/>
  <cols>
    <col min="1" max="1" width="61.1796875" customWidth="1"/>
    <col min="2" max="2" width="16.81640625" customWidth="1"/>
    <col min="3" max="3" width="10" customWidth="1"/>
    <col min="5" max="5" width="13.1796875" customWidth="1"/>
    <col min="7" max="7" width="12.7265625" customWidth="1"/>
  </cols>
  <sheetData>
    <row r="1" spans="1:9" ht="23.5" x14ac:dyDescent="0.55000000000000004">
      <c r="A1" s="4" t="s">
        <v>0</v>
      </c>
      <c r="B1" s="4"/>
      <c r="C1" s="4"/>
      <c r="D1" s="4"/>
      <c r="E1" s="4"/>
      <c r="F1" s="4"/>
      <c r="G1" s="4"/>
      <c r="H1" s="4"/>
      <c r="I1" s="4"/>
    </row>
    <row r="2" spans="1:9" ht="23.5" x14ac:dyDescent="0.55000000000000004">
      <c r="A2" s="4"/>
      <c r="B2" s="4" t="s">
        <v>7</v>
      </c>
      <c r="C2" s="4" t="s">
        <v>6</v>
      </c>
      <c r="D2" s="4" t="s">
        <v>6</v>
      </c>
      <c r="E2" s="4" t="s">
        <v>5</v>
      </c>
      <c r="F2" s="4" t="s">
        <v>5</v>
      </c>
      <c r="G2" s="4" t="s">
        <v>5</v>
      </c>
      <c r="H2" s="4" t="s">
        <v>5</v>
      </c>
      <c r="I2" s="4" t="s">
        <v>109</v>
      </c>
    </row>
    <row r="3" spans="1:9" ht="23.5" x14ac:dyDescent="0.55000000000000004">
      <c r="A3" s="4" t="s">
        <v>1</v>
      </c>
      <c r="B3" s="4" t="s">
        <v>2</v>
      </c>
      <c r="C3" s="4" t="s">
        <v>3</v>
      </c>
      <c r="D3" s="4" t="s">
        <v>4</v>
      </c>
      <c r="E3" s="4" t="s">
        <v>3</v>
      </c>
      <c r="F3" s="4" t="s">
        <v>4</v>
      </c>
      <c r="G3" s="4" t="s">
        <v>20</v>
      </c>
      <c r="H3" s="4" t="s">
        <v>21</v>
      </c>
      <c r="I3" s="4" t="s">
        <v>110</v>
      </c>
    </row>
    <row r="4" spans="1:9" ht="23.5" x14ac:dyDescent="0.55000000000000004">
      <c r="A4" s="4" t="s">
        <v>8</v>
      </c>
      <c r="B4" s="4"/>
      <c r="C4" s="4"/>
      <c r="D4" s="4"/>
      <c r="E4" s="4"/>
      <c r="F4" s="4"/>
      <c r="G4" s="4"/>
      <c r="H4" s="4"/>
      <c r="I4" s="4"/>
    </row>
    <row r="5" spans="1:9" ht="23.5" x14ac:dyDescent="0.55000000000000004">
      <c r="A5" s="4" t="s">
        <v>9</v>
      </c>
      <c r="B5" s="4">
        <v>5</v>
      </c>
      <c r="C5" s="4">
        <v>0.1</v>
      </c>
      <c r="D5" s="4">
        <v>3</v>
      </c>
      <c r="E5" s="4">
        <f>B5*C5/250</f>
        <v>2E-3</v>
      </c>
      <c r="F5" s="4">
        <f>B5*D5/250</f>
        <v>0.06</v>
      </c>
      <c r="G5" s="4"/>
      <c r="H5" s="4"/>
      <c r="I5" s="4"/>
    </row>
    <row r="6" spans="1:9" ht="23.5" x14ac:dyDescent="0.55000000000000004">
      <c r="A6" s="4" t="s">
        <v>10</v>
      </c>
      <c r="B6" s="4">
        <v>3</v>
      </c>
      <c r="C6" s="4">
        <v>0.1</v>
      </c>
      <c r="D6" s="4">
        <v>3</v>
      </c>
      <c r="E6" s="4">
        <f t="shared" ref="E6:E10" si="0">B6*C6/250</f>
        <v>1.2000000000000001E-3</v>
      </c>
      <c r="F6" s="4">
        <f t="shared" ref="F6:F10" si="1">B6*D6/250</f>
        <v>3.5999999999999997E-2</v>
      </c>
      <c r="G6" s="4"/>
      <c r="H6" s="4"/>
      <c r="I6" s="4"/>
    </row>
    <row r="7" spans="1:9" ht="23.5" x14ac:dyDescent="0.55000000000000004">
      <c r="A7" s="4" t="s">
        <v>105</v>
      </c>
      <c r="B7" s="4">
        <v>5</v>
      </c>
      <c r="C7" s="4">
        <v>0</v>
      </c>
      <c r="D7" s="4">
        <v>2</v>
      </c>
      <c r="E7" s="4">
        <f t="shared" ref="E7" si="2">B7*C7/250</f>
        <v>0</v>
      </c>
      <c r="F7" s="4">
        <f t="shared" ref="F7" si="3">B7*D7/250</f>
        <v>0.04</v>
      </c>
      <c r="G7" s="4"/>
      <c r="H7" s="4"/>
      <c r="I7" s="4"/>
    </row>
    <row r="8" spans="1:9" ht="23.5" x14ac:dyDescent="0.55000000000000004">
      <c r="A8" s="4" t="s">
        <v>106</v>
      </c>
      <c r="B8" s="4">
        <v>2</v>
      </c>
      <c r="C8" s="4">
        <v>0.1</v>
      </c>
      <c r="D8" s="4">
        <v>3</v>
      </c>
      <c r="E8" s="4">
        <f t="shared" ref="E8" si="4">B8*C8/250</f>
        <v>8.0000000000000004E-4</v>
      </c>
      <c r="F8" s="4">
        <f t="shared" ref="F8" si="5">B8*D8/250</f>
        <v>2.4E-2</v>
      </c>
      <c r="G8" s="4"/>
      <c r="H8" s="4"/>
      <c r="I8" s="4"/>
    </row>
    <row r="9" spans="1:9" ht="23.5" x14ac:dyDescent="0.55000000000000004">
      <c r="A9" s="4" t="s">
        <v>11</v>
      </c>
      <c r="B9" s="4">
        <v>3</v>
      </c>
      <c r="C9" s="4">
        <v>0.1</v>
      </c>
      <c r="D9" s="4">
        <v>2</v>
      </c>
      <c r="E9" s="4">
        <f t="shared" si="0"/>
        <v>1.2000000000000001E-3</v>
      </c>
      <c r="F9" s="4">
        <f t="shared" si="1"/>
        <v>2.4E-2</v>
      </c>
      <c r="G9" s="4"/>
      <c r="H9" s="4"/>
      <c r="I9" s="4"/>
    </row>
    <row r="10" spans="1:9" ht="23.5" x14ac:dyDescent="0.55000000000000004">
      <c r="A10" s="4" t="s">
        <v>12</v>
      </c>
      <c r="B10" s="4">
        <v>5</v>
      </c>
      <c r="C10" s="4">
        <v>0.2</v>
      </c>
      <c r="D10" s="4">
        <v>3</v>
      </c>
      <c r="E10" s="4">
        <f t="shared" si="0"/>
        <v>4.0000000000000001E-3</v>
      </c>
      <c r="F10" s="4">
        <f t="shared" si="1"/>
        <v>0.06</v>
      </c>
      <c r="G10" s="4"/>
      <c r="H10" s="4"/>
      <c r="I10" s="4"/>
    </row>
    <row r="11" spans="1:9" ht="23.5" x14ac:dyDescent="0.55000000000000004">
      <c r="A11" s="4" t="s">
        <v>13</v>
      </c>
      <c r="B11" s="4"/>
      <c r="C11" s="4"/>
      <c r="D11" s="4"/>
      <c r="E11" s="4"/>
      <c r="F11" s="4"/>
      <c r="G11" s="4"/>
      <c r="H11" s="4"/>
      <c r="I11" s="4"/>
    </row>
    <row r="12" spans="1:9" ht="23.5" x14ac:dyDescent="0.55000000000000004">
      <c r="A12" s="4" t="s">
        <v>14</v>
      </c>
      <c r="B12" s="4">
        <v>10</v>
      </c>
      <c r="C12" s="4">
        <v>0.1</v>
      </c>
      <c r="D12" s="4">
        <v>1</v>
      </c>
      <c r="E12" s="4">
        <f t="shared" ref="E12:E17" si="6">B12*C12/250</f>
        <v>4.0000000000000001E-3</v>
      </c>
      <c r="F12" s="4">
        <f t="shared" ref="F12:F17" si="7">B12*D12/250</f>
        <v>0.04</v>
      </c>
      <c r="G12" s="4">
        <f>3*B12/250</f>
        <v>0.12</v>
      </c>
      <c r="H12" s="4"/>
      <c r="I12" s="4"/>
    </row>
    <row r="13" spans="1:9" ht="23.5" x14ac:dyDescent="0.55000000000000004">
      <c r="A13" s="4" t="s">
        <v>15</v>
      </c>
      <c r="B13" s="4">
        <v>4</v>
      </c>
      <c r="C13" s="4">
        <v>0.3</v>
      </c>
      <c r="D13" s="4">
        <v>3</v>
      </c>
      <c r="E13" s="4">
        <f t="shared" si="6"/>
        <v>4.7999999999999996E-3</v>
      </c>
      <c r="F13" s="4">
        <f t="shared" si="7"/>
        <v>4.8000000000000001E-2</v>
      </c>
      <c r="G13" s="4"/>
      <c r="H13" s="4">
        <f>2*1/250</f>
        <v>8.0000000000000002E-3</v>
      </c>
      <c r="I13" s="4"/>
    </row>
    <row r="14" spans="1:9" ht="23.5" x14ac:dyDescent="0.55000000000000004">
      <c r="A14" s="4" t="s">
        <v>16</v>
      </c>
      <c r="B14" s="4">
        <v>10</v>
      </c>
      <c r="C14" s="4">
        <v>0.3</v>
      </c>
      <c r="D14" s="4">
        <v>3</v>
      </c>
      <c r="E14" s="4">
        <f t="shared" si="6"/>
        <v>1.2E-2</v>
      </c>
      <c r="F14" s="4">
        <f t="shared" si="7"/>
        <v>0.12</v>
      </c>
      <c r="G14" s="4"/>
      <c r="H14" s="4">
        <f>2*2/250</f>
        <v>1.6E-2</v>
      </c>
      <c r="I14" s="4"/>
    </row>
    <row r="15" spans="1:9" ht="23.5" x14ac:dyDescent="0.55000000000000004">
      <c r="A15" s="4" t="s">
        <v>107</v>
      </c>
      <c r="B15" s="4">
        <v>10</v>
      </c>
      <c r="C15" s="4">
        <v>0.2</v>
      </c>
      <c r="D15" s="4">
        <v>3</v>
      </c>
      <c r="E15" s="4">
        <f t="shared" si="6"/>
        <v>8.0000000000000002E-3</v>
      </c>
      <c r="F15" s="4">
        <f t="shared" si="7"/>
        <v>0.12</v>
      </c>
      <c r="G15" s="4"/>
      <c r="H15" s="4"/>
      <c r="I15" s="4"/>
    </row>
    <row r="16" spans="1:9" ht="23.5" x14ac:dyDescent="0.55000000000000004">
      <c r="A16" s="4" t="s">
        <v>108</v>
      </c>
      <c r="B16" s="4">
        <v>5</v>
      </c>
      <c r="C16" s="4">
        <v>0.1</v>
      </c>
      <c r="D16" s="4">
        <v>3</v>
      </c>
      <c r="E16" s="4">
        <f t="shared" si="6"/>
        <v>2E-3</v>
      </c>
      <c r="F16" s="4">
        <f t="shared" si="7"/>
        <v>0.06</v>
      </c>
      <c r="G16" s="4"/>
      <c r="H16" s="4"/>
      <c r="I16" s="4">
        <f>3*5/250</f>
        <v>0.06</v>
      </c>
    </row>
    <row r="17" spans="1:9" ht="23.5" x14ac:dyDescent="0.55000000000000004">
      <c r="A17" s="4" t="s">
        <v>17</v>
      </c>
      <c r="B17" s="4">
        <v>2</v>
      </c>
      <c r="C17" s="4">
        <v>0.2</v>
      </c>
      <c r="D17" s="4">
        <v>1</v>
      </c>
      <c r="E17" s="4">
        <f t="shared" si="6"/>
        <v>1.6000000000000001E-3</v>
      </c>
      <c r="F17" s="4">
        <f t="shared" si="7"/>
        <v>8.0000000000000002E-3</v>
      </c>
      <c r="G17" s="4"/>
      <c r="H17" s="4">
        <f>2/250</f>
        <v>8.0000000000000002E-3</v>
      </c>
      <c r="I17" s="4"/>
    </row>
    <row r="18" spans="1:9" ht="23.5" x14ac:dyDescent="0.55000000000000004">
      <c r="A18" s="4" t="s">
        <v>114</v>
      </c>
      <c r="B18" s="4">
        <v>4</v>
      </c>
      <c r="C18" s="4">
        <v>0.3</v>
      </c>
      <c r="D18" s="4">
        <v>2</v>
      </c>
      <c r="E18" s="4">
        <f t="shared" ref="E18:E29" si="8">B18*C18/250</f>
        <v>4.7999999999999996E-3</v>
      </c>
      <c r="F18" s="4">
        <f t="shared" ref="F18:F29" si="9">B18*D18/250</f>
        <v>3.2000000000000001E-2</v>
      </c>
      <c r="G18" s="4"/>
      <c r="H18" s="4">
        <v>0.01</v>
      </c>
      <c r="I18" s="4"/>
    </row>
    <row r="19" spans="1:9" ht="23.5" x14ac:dyDescent="0.55000000000000004">
      <c r="A19" s="4" t="s">
        <v>18</v>
      </c>
      <c r="B19" s="4">
        <v>20</v>
      </c>
      <c r="C19" s="4">
        <v>0.2</v>
      </c>
      <c r="D19" s="4">
        <v>4</v>
      </c>
      <c r="E19" s="4">
        <f t="shared" si="8"/>
        <v>1.6E-2</v>
      </c>
      <c r="F19" s="4">
        <f t="shared" si="9"/>
        <v>0.32</v>
      </c>
      <c r="G19" s="4"/>
      <c r="H19" s="4"/>
      <c r="I19" s="4"/>
    </row>
    <row r="20" spans="1:9" ht="23.5" x14ac:dyDescent="0.55000000000000004">
      <c r="A20" s="4" t="s">
        <v>111</v>
      </c>
      <c r="B20" s="4">
        <v>10</v>
      </c>
      <c r="C20" s="4">
        <v>0.2</v>
      </c>
      <c r="D20" s="4">
        <v>3</v>
      </c>
      <c r="E20" s="4">
        <f t="shared" si="8"/>
        <v>8.0000000000000002E-3</v>
      </c>
      <c r="F20" s="4">
        <f t="shared" si="9"/>
        <v>0.12</v>
      </c>
      <c r="G20" s="4"/>
      <c r="H20" s="4">
        <f>2*2/250</f>
        <v>1.6E-2</v>
      </c>
      <c r="I20" s="4"/>
    </row>
    <row r="21" spans="1:9" ht="23.5" x14ac:dyDescent="0.55000000000000004">
      <c r="A21" s="4" t="s">
        <v>19</v>
      </c>
      <c r="B21" s="4">
        <v>5</v>
      </c>
      <c r="C21" s="4">
        <v>0.2</v>
      </c>
      <c r="D21" s="4">
        <v>2</v>
      </c>
      <c r="E21" s="4">
        <f t="shared" si="8"/>
        <v>4.0000000000000001E-3</v>
      </c>
      <c r="F21" s="4">
        <f t="shared" si="9"/>
        <v>0.04</v>
      </c>
      <c r="G21" s="4"/>
      <c r="H21" s="4"/>
      <c r="I21" s="4"/>
    </row>
    <row r="22" spans="1:9" ht="23.5" x14ac:dyDescent="0.55000000000000004">
      <c r="A22" s="4" t="s">
        <v>112</v>
      </c>
      <c r="B22" s="4">
        <v>2</v>
      </c>
      <c r="C22" s="4">
        <v>0.2</v>
      </c>
      <c r="D22" s="4">
        <v>1</v>
      </c>
      <c r="E22" s="4">
        <f t="shared" si="8"/>
        <v>1.6000000000000001E-3</v>
      </c>
      <c r="F22" s="4">
        <f t="shared" si="9"/>
        <v>8.0000000000000002E-3</v>
      </c>
      <c r="G22" s="4"/>
      <c r="H22" s="4">
        <f>2/250</f>
        <v>8.0000000000000002E-3</v>
      </c>
      <c r="I22" s="4"/>
    </row>
    <row r="23" spans="1:9" ht="23.5" x14ac:dyDescent="0.55000000000000004">
      <c r="A23" s="4" t="s">
        <v>24</v>
      </c>
      <c r="B23" s="4">
        <v>20</v>
      </c>
      <c r="C23" s="4">
        <v>0.2</v>
      </c>
      <c r="D23" s="4">
        <v>4</v>
      </c>
      <c r="E23" s="4">
        <f t="shared" si="8"/>
        <v>1.6E-2</v>
      </c>
      <c r="F23" s="4">
        <f t="shared" si="9"/>
        <v>0.32</v>
      </c>
      <c r="G23" s="4"/>
      <c r="H23" s="4"/>
      <c r="I23" s="4"/>
    </row>
    <row r="24" spans="1:9" ht="23.5" x14ac:dyDescent="0.55000000000000004">
      <c r="A24" s="4" t="s">
        <v>113</v>
      </c>
      <c r="B24" s="4">
        <v>10</v>
      </c>
      <c r="C24" s="4">
        <v>0.4</v>
      </c>
      <c r="D24" s="4">
        <v>3</v>
      </c>
      <c r="E24" s="4">
        <f t="shared" si="8"/>
        <v>1.6E-2</v>
      </c>
      <c r="F24" s="4">
        <f t="shared" si="9"/>
        <v>0.12</v>
      </c>
      <c r="G24" s="4"/>
      <c r="H24" s="4"/>
      <c r="I24" s="4"/>
    </row>
    <row r="25" spans="1:9" ht="23.5" x14ac:dyDescent="0.55000000000000004">
      <c r="A25" s="4" t="s">
        <v>22</v>
      </c>
      <c r="B25" s="4">
        <v>4</v>
      </c>
      <c r="C25" s="4">
        <v>0.2</v>
      </c>
      <c r="D25" s="4">
        <v>3</v>
      </c>
      <c r="E25" s="4">
        <f t="shared" si="8"/>
        <v>3.2000000000000002E-3</v>
      </c>
      <c r="F25" s="4">
        <f t="shared" si="9"/>
        <v>4.8000000000000001E-2</v>
      </c>
      <c r="G25" s="4"/>
      <c r="H25" s="4">
        <f>2/250</f>
        <v>8.0000000000000002E-3</v>
      </c>
      <c r="I25" s="4"/>
    </row>
    <row r="26" spans="1:9" ht="23.5" x14ac:dyDescent="0.55000000000000004">
      <c r="A26" s="4" t="s">
        <v>23</v>
      </c>
      <c r="B26" s="4">
        <v>5</v>
      </c>
      <c r="C26" s="4">
        <v>0.2</v>
      </c>
      <c r="D26" s="4">
        <v>3</v>
      </c>
      <c r="E26" s="4">
        <f t="shared" si="8"/>
        <v>4.0000000000000001E-3</v>
      </c>
      <c r="F26" s="4">
        <f t="shared" si="9"/>
        <v>0.06</v>
      </c>
      <c r="G26" s="4"/>
      <c r="H26" s="4"/>
      <c r="I26" s="4"/>
    </row>
    <row r="27" spans="1:9" ht="23.5" x14ac:dyDescent="0.55000000000000004">
      <c r="A27" s="4" t="s">
        <v>81</v>
      </c>
      <c r="B27" s="4">
        <v>3</v>
      </c>
      <c r="C27" s="4">
        <v>0.1</v>
      </c>
      <c r="D27" s="4">
        <v>3</v>
      </c>
      <c r="E27" s="4">
        <f t="shared" si="8"/>
        <v>1.2000000000000001E-3</v>
      </c>
      <c r="F27" s="4">
        <f t="shared" si="9"/>
        <v>3.5999999999999997E-2</v>
      </c>
      <c r="G27" s="4"/>
      <c r="H27" s="4">
        <f>2/250</f>
        <v>8.0000000000000002E-3</v>
      </c>
      <c r="I27" s="4"/>
    </row>
    <row r="28" spans="1:9" ht="23.5" x14ac:dyDescent="0.55000000000000004">
      <c r="A28" s="4" t="s">
        <v>99</v>
      </c>
      <c r="B28" s="4">
        <v>20</v>
      </c>
      <c r="C28" s="4">
        <v>0.1</v>
      </c>
      <c r="D28" s="4">
        <v>1</v>
      </c>
      <c r="E28" s="4">
        <f t="shared" si="8"/>
        <v>8.0000000000000002E-3</v>
      </c>
      <c r="F28" s="4">
        <f t="shared" si="9"/>
        <v>0.08</v>
      </c>
      <c r="G28" s="4"/>
      <c r="H28" s="4"/>
      <c r="I28" s="4"/>
    </row>
    <row r="29" spans="1:9" ht="23.5" x14ac:dyDescent="0.55000000000000004">
      <c r="A29" s="4" t="s">
        <v>29</v>
      </c>
      <c r="B29" s="4">
        <v>3</v>
      </c>
      <c r="C29" s="4">
        <v>0.1</v>
      </c>
      <c r="D29" s="4">
        <v>1</v>
      </c>
      <c r="E29" s="4">
        <f t="shared" si="8"/>
        <v>1.2000000000000001E-3</v>
      </c>
      <c r="F29" s="4">
        <f t="shared" si="9"/>
        <v>1.2E-2</v>
      </c>
      <c r="G29" s="4"/>
      <c r="H29" s="4">
        <f>2*2/250</f>
        <v>1.6E-2</v>
      </c>
      <c r="I29" s="4"/>
    </row>
    <row r="30" spans="1:9" ht="23.5" x14ac:dyDescent="0.55000000000000004">
      <c r="A30" s="4"/>
      <c r="B30" s="4"/>
      <c r="C30" s="4"/>
      <c r="D30" s="4"/>
      <c r="E30" s="4"/>
      <c r="F30" s="4"/>
      <c r="G30" s="4"/>
      <c r="H30" s="4"/>
      <c r="I30" s="4"/>
    </row>
    <row r="31" spans="1:9" ht="23.5" x14ac:dyDescent="0.55000000000000004">
      <c r="A31" s="4" t="s">
        <v>26</v>
      </c>
      <c r="B31" s="4">
        <f>SUM(B5:B29)</f>
        <v>170</v>
      </c>
      <c r="C31" s="4"/>
      <c r="D31" s="4"/>
      <c r="E31" s="4">
        <f>SUM(E5:E29)</f>
        <v>0.12560000000000002</v>
      </c>
      <c r="F31" s="4">
        <f>SUM(F5:F29)</f>
        <v>1.8360000000000003</v>
      </c>
      <c r="G31" s="4">
        <f>SUM(G5:G29)</f>
        <v>0.12</v>
      </c>
      <c r="H31" s="4">
        <f>SUM(H5:H29)</f>
        <v>9.8000000000000018E-2</v>
      </c>
      <c r="I31" s="4">
        <f>SUM(I5:I29)</f>
        <v>0.06</v>
      </c>
    </row>
    <row r="32" spans="1:9" ht="23.5" x14ac:dyDescent="0.55000000000000004">
      <c r="A32" s="4" t="s">
        <v>25</v>
      </c>
      <c r="B32" s="4">
        <f>B31/20</f>
        <v>8.5</v>
      </c>
      <c r="C32" s="4"/>
      <c r="D32" s="4"/>
      <c r="E32" s="4"/>
      <c r="F32" s="4"/>
      <c r="G32" s="4"/>
      <c r="H32" s="4"/>
      <c r="I32" s="4"/>
    </row>
    <row r="33" spans="1:9" ht="23.5" x14ac:dyDescent="0.55000000000000004">
      <c r="A33" s="4" t="s">
        <v>27</v>
      </c>
      <c r="B33" s="5">
        <f>F31*12/B32</f>
        <v>2.5920000000000005</v>
      </c>
      <c r="C33" s="4"/>
      <c r="D33" s="4"/>
      <c r="E33" s="4"/>
      <c r="F33" s="4"/>
      <c r="G33" s="4"/>
      <c r="H33" s="4"/>
      <c r="I33" s="4"/>
    </row>
    <row r="34" spans="1:9" ht="23.5" x14ac:dyDescent="0.55000000000000004">
      <c r="A34" s="4" t="s">
        <v>28</v>
      </c>
      <c r="B34" s="5">
        <f>E31*12/B32</f>
        <v>0.17731764705882355</v>
      </c>
      <c r="C34" s="4"/>
      <c r="D34" s="4"/>
      <c r="E34" s="4"/>
      <c r="F34" s="4"/>
      <c r="G34" s="4"/>
      <c r="H34" s="4"/>
      <c r="I34" s="4"/>
    </row>
    <row r="35" spans="1:9" ht="23.5" x14ac:dyDescent="0.55000000000000004">
      <c r="A35" s="4" t="s">
        <v>115</v>
      </c>
      <c r="B35" s="4">
        <v>0.2</v>
      </c>
      <c r="C35" s="4"/>
      <c r="D35" s="4"/>
      <c r="E35" s="4"/>
      <c r="F35" s="4"/>
      <c r="G35" s="4"/>
      <c r="H35" s="4"/>
      <c r="I35" s="4"/>
    </row>
    <row r="36" spans="1:9" ht="23.5" x14ac:dyDescent="0.55000000000000004">
      <c r="A36" s="4" t="s">
        <v>74</v>
      </c>
      <c r="B36" s="5">
        <f>B33*1.2</f>
        <v>3.1104000000000007</v>
      </c>
      <c r="C36" s="4"/>
      <c r="D36" s="4"/>
      <c r="E36" s="4"/>
      <c r="F36" s="4"/>
      <c r="G36" s="4"/>
      <c r="H36" s="4"/>
      <c r="I36" s="4"/>
    </row>
    <row r="37" spans="1:9" ht="23.5" x14ac:dyDescent="0.55000000000000004">
      <c r="A37" s="4"/>
      <c r="B37" s="4"/>
      <c r="C37" s="4"/>
      <c r="D37" s="4"/>
      <c r="E37" s="4"/>
      <c r="F37" s="4"/>
      <c r="G37" s="4"/>
      <c r="H37" s="4"/>
      <c r="I37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34"/>
  <sheetViews>
    <sheetView workbookViewId="0">
      <selection activeCell="C34" sqref="C34"/>
    </sheetView>
  </sheetViews>
  <sheetFormatPr defaultRowHeight="14.5" x14ac:dyDescent="0.35"/>
  <cols>
    <col min="1" max="1" width="57.54296875" customWidth="1"/>
    <col min="2" max="2" width="14.08984375" customWidth="1"/>
    <col min="7" max="7" width="12.7265625" customWidth="1"/>
  </cols>
  <sheetData>
    <row r="1" spans="1:8" ht="23.5" x14ac:dyDescent="0.55000000000000004">
      <c r="A1" s="4" t="s">
        <v>30</v>
      </c>
      <c r="B1" s="4"/>
      <c r="C1" s="4"/>
      <c r="D1" s="4"/>
      <c r="E1" s="4"/>
      <c r="F1" s="4"/>
      <c r="G1" s="4"/>
      <c r="H1" s="4"/>
    </row>
    <row r="2" spans="1:8" ht="23.5" x14ac:dyDescent="0.55000000000000004">
      <c r="A2" s="4"/>
      <c r="B2" s="4" t="s">
        <v>7</v>
      </c>
      <c r="C2" s="4" t="s">
        <v>6</v>
      </c>
      <c r="D2" s="4" t="s">
        <v>6</v>
      </c>
      <c r="E2" s="4" t="s">
        <v>5</v>
      </c>
      <c r="F2" s="4" t="s">
        <v>5</v>
      </c>
      <c r="G2" s="4" t="s">
        <v>5</v>
      </c>
      <c r="H2" s="4" t="s">
        <v>5</v>
      </c>
    </row>
    <row r="3" spans="1:8" ht="23.5" x14ac:dyDescent="0.55000000000000004">
      <c r="A3" s="4" t="s">
        <v>1</v>
      </c>
      <c r="B3" s="4" t="s">
        <v>2</v>
      </c>
      <c r="C3" s="4" t="s">
        <v>3</v>
      </c>
      <c r="D3" s="4" t="s">
        <v>32</v>
      </c>
      <c r="E3" s="4" t="s">
        <v>3</v>
      </c>
      <c r="F3" s="4" t="s">
        <v>32</v>
      </c>
      <c r="G3" s="4" t="s">
        <v>20</v>
      </c>
      <c r="H3" s="4" t="s">
        <v>21</v>
      </c>
    </row>
    <row r="4" spans="1:8" ht="23.5" x14ac:dyDescent="0.55000000000000004">
      <c r="A4" s="4" t="s">
        <v>31</v>
      </c>
      <c r="B4" s="4"/>
      <c r="C4" s="4"/>
      <c r="D4" s="4"/>
      <c r="E4" s="4"/>
      <c r="F4" s="4"/>
      <c r="G4" s="4"/>
      <c r="H4" s="4"/>
    </row>
    <row r="5" spans="1:8" ht="23.5" x14ac:dyDescent="0.55000000000000004">
      <c r="A5" s="4" t="s">
        <v>36</v>
      </c>
      <c r="B5" s="4">
        <v>10</v>
      </c>
      <c r="C5" s="4">
        <v>0.1</v>
      </c>
      <c r="D5" s="4">
        <v>1</v>
      </c>
      <c r="E5" s="30">
        <f>B5*C5/250</f>
        <v>4.0000000000000001E-3</v>
      </c>
      <c r="F5" s="30">
        <f>B5*D5/250</f>
        <v>0.04</v>
      </c>
      <c r="G5" s="4"/>
      <c r="H5" s="4"/>
    </row>
    <row r="6" spans="1:8" ht="23.5" x14ac:dyDescent="0.55000000000000004">
      <c r="A6" s="4" t="s">
        <v>33</v>
      </c>
      <c r="B6" s="4">
        <v>2</v>
      </c>
      <c r="C6" s="4">
        <v>0.1</v>
      </c>
      <c r="D6" s="4">
        <v>1</v>
      </c>
      <c r="E6" s="30">
        <f t="shared" ref="E6:E9" si="0">B6*C6/250</f>
        <v>8.0000000000000004E-4</v>
      </c>
      <c r="F6" s="30">
        <f t="shared" ref="F6:F9" si="1">B6*D6/250</f>
        <v>8.0000000000000002E-3</v>
      </c>
      <c r="G6" s="4"/>
      <c r="H6" s="4"/>
    </row>
    <row r="7" spans="1:8" ht="23.5" x14ac:dyDescent="0.55000000000000004">
      <c r="A7" s="4" t="s">
        <v>34</v>
      </c>
      <c r="B7" s="4">
        <v>2</v>
      </c>
      <c r="C7" s="4">
        <v>0.1</v>
      </c>
      <c r="D7" s="4">
        <v>1</v>
      </c>
      <c r="E7" s="30">
        <f t="shared" si="0"/>
        <v>8.0000000000000004E-4</v>
      </c>
      <c r="F7" s="30">
        <f t="shared" si="1"/>
        <v>8.0000000000000002E-3</v>
      </c>
      <c r="G7" s="4"/>
      <c r="H7" s="4"/>
    </row>
    <row r="8" spans="1:8" ht="23.5" x14ac:dyDescent="0.55000000000000004">
      <c r="A8" s="4" t="s">
        <v>37</v>
      </c>
      <c r="B8" s="4">
        <v>25</v>
      </c>
      <c r="C8" s="4">
        <v>0.2</v>
      </c>
      <c r="D8" s="4">
        <v>1</v>
      </c>
      <c r="E8" s="30">
        <f t="shared" si="0"/>
        <v>0.02</v>
      </c>
      <c r="F8" s="30">
        <f t="shared" si="1"/>
        <v>0.1</v>
      </c>
      <c r="G8" s="4"/>
      <c r="H8" s="4"/>
    </row>
    <row r="9" spans="1:8" ht="23.5" x14ac:dyDescent="0.55000000000000004">
      <c r="A9" s="4" t="s">
        <v>38</v>
      </c>
      <c r="B9" s="4">
        <v>200</v>
      </c>
      <c r="C9" s="4">
        <v>0.05</v>
      </c>
      <c r="D9" s="4">
        <v>0.05</v>
      </c>
      <c r="E9" s="30">
        <f t="shared" si="0"/>
        <v>0.04</v>
      </c>
      <c r="F9" s="30">
        <f t="shared" si="1"/>
        <v>0.04</v>
      </c>
      <c r="G9" s="4"/>
      <c r="H9" s="4"/>
    </row>
    <row r="10" spans="1:8" ht="23.5" x14ac:dyDescent="0.55000000000000004">
      <c r="A10" s="4" t="s">
        <v>39</v>
      </c>
      <c r="B10" s="4"/>
      <c r="C10" s="4"/>
      <c r="D10" s="4"/>
      <c r="E10" s="30"/>
      <c r="F10" s="30"/>
      <c r="G10" s="4"/>
      <c r="H10" s="4"/>
    </row>
    <row r="11" spans="1:8" ht="23.5" x14ac:dyDescent="0.55000000000000004">
      <c r="A11" s="4" t="s">
        <v>40</v>
      </c>
      <c r="B11" s="4">
        <v>30</v>
      </c>
      <c r="C11" s="4">
        <v>0.2</v>
      </c>
      <c r="D11" s="4">
        <v>1</v>
      </c>
      <c r="E11" s="30">
        <f t="shared" ref="E11:E26" si="2">B11*C11/250</f>
        <v>2.4E-2</v>
      </c>
      <c r="F11" s="30">
        <f t="shared" ref="F11:F26" si="3">B11*D11/250</f>
        <v>0.12</v>
      </c>
      <c r="G11" s="4">
        <f>B11/250</f>
        <v>0.12</v>
      </c>
      <c r="H11" s="4"/>
    </row>
    <row r="12" spans="1:8" ht="23.5" x14ac:dyDescent="0.55000000000000004">
      <c r="A12" s="4" t="s">
        <v>41</v>
      </c>
      <c r="B12" s="4">
        <v>15</v>
      </c>
      <c r="C12" s="4">
        <v>0.3</v>
      </c>
      <c r="D12" s="4">
        <v>1</v>
      </c>
      <c r="E12" s="30">
        <f t="shared" si="2"/>
        <v>1.7999999999999999E-2</v>
      </c>
      <c r="F12" s="30">
        <f t="shared" si="3"/>
        <v>0.06</v>
      </c>
      <c r="G12" s="4"/>
      <c r="H12" s="4" t="s">
        <v>35</v>
      </c>
    </row>
    <row r="13" spans="1:8" ht="23.5" x14ac:dyDescent="0.55000000000000004">
      <c r="A13" s="4" t="s">
        <v>42</v>
      </c>
      <c r="B13" s="4">
        <v>25</v>
      </c>
      <c r="C13" s="4">
        <v>0.4</v>
      </c>
      <c r="D13" s="4">
        <v>1</v>
      </c>
      <c r="E13" s="30">
        <f t="shared" si="2"/>
        <v>0.04</v>
      </c>
      <c r="F13" s="30">
        <f t="shared" si="3"/>
        <v>0.1</v>
      </c>
      <c r="G13" s="4"/>
      <c r="H13" s="4" t="s">
        <v>35</v>
      </c>
    </row>
    <row r="14" spans="1:8" ht="23.5" x14ac:dyDescent="0.55000000000000004">
      <c r="A14" s="4" t="s">
        <v>82</v>
      </c>
      <c r="B14" s="4">
        <v>25</v>
      </c>
      <c r="C14" s="4">
        <v>0.1</v>
      </c>
      <c r="D14" s="4">
        <v>1</v>
      </c>
      <c r="E14" s="30">
        <f t="shared" si="2"/>
        <v>0.01</v>
      </c>
      <c r="F14" s="30">
        <f t="shared" si="3"/>
        <v>0.1</v>
      </c>
      <c r="G14" s="4"/>
      <c r="H14" s="4"/>
    </row>
    <row r="15" spans="1:8" ht="23.5" x14ac:dyDescent="0.55000000000000004">
      <c r="A15" s="4" t="s">
        <v>43</v>
      </c>
      <c r="B15" s="4">
        <v>65</v>
      </c>
      <c r="C15" s="4">
        <v>0.5</v>
      </c>
      <c r="D15" s="4">
        <v>1</v>
      </c>
      <c r="E15" s="30">
        <f t="shared" si="2"/>
        <v>0.13</v>
      </c>
      <c r="F15" s="30">
        <f t="shared" si="3"/>
        <v>0.26</v>
      </c>
      <c r="G15" s="4"/>
      <c r="H15" s="4"/>
    </row>
    <row r="16" spans="1:8" ht="23.5" x14ac:dyDescent="0.55000000000000004">
      <c r="A16" s="4" t="s">
        <v>44</v>
      </c>
      <c r="B16" s="4">
        <v>250</v>
      </c>
      <c r="C16" s="4">
        <v>0.1</v>
      </c>
      <c r="D16" s="4">
        <v>0.1</v>
      </c>
      <c r="E16" s="30">
        <f t="shared" si="2"/>
        <v>0.1</v>
      </c>
      <c r="F16" s="30">
        <f t="shared" si="3"/>
        <v>0.1</v>
      </c>
      <c r="G16" s="4"/>
      <c r="H16" s="4"/>
    </row>
    <row r="17" spans="1:8" ht="23.5" x14ac:dyDescent="0.55000000000000004">
      <c r="A17" s="4" t="s">
        <v>45</v>
      </c>
      <c r="B17" s="4">
        <v>25</v>
      </c>
      <c r="C17" s="4">
        <v>0.1</v>
      </c>
      <c r="D17" s="4">
        <v>1</v>
      </c>
      <c r="E17" s="30">
        <f t="shared" si="2"/>
        <v>0.01</v>
      </c>
      <c r="F17" s="30">
        <f t="shared" si="3"/>
        <v>0.1</v>
      </c>
      <c r="G17" s="4"/>
      <c r="H17" s="4"/>
    </row>
    <row r="18" spans="1:8" ht="23.5" x14ac:dyDescent="0.55000000000000004">
      <c r="A18" s="4" t="s">
        <v>46</v>
      </c>
      <c r="B18" s="4">
        <v>120</v>
      </c>
      <c r="C18" s="4">
        <v>0.2</v>
      </c>
      <c r="D18" s="4">
        <v>1</v>
      </c>
      <c r="E18" s="30">
        <f t="shared" si="2"/>
        <v>9.6000000000000002E-2</v>
      </c>
      <c r="F18" s="30">
        <f t="shared" si="3"/>
        <v>0.48</v>
      </c>
      <c r="G18" s="4"/>
      <c r="H18" s="4"/>
    </row>
    <row r="19" spans="1:8" ht="23.5" x14ac:dyDescent="0.55000000000000004">
      <c r="A19" s="4" t="s">
        <v>104</v>
      </c>
      <c r="B19" s="4">
        <v>30</v>
      </c>
      <c r="C19" s="4">
        <v>0.3</v>
      </c>
      <c r="D19" s="4">
        <v>1</v>
      </c>
      <c r="E19" s="30">
        <f t="shared" si="2"/>
        <v>3.5999999999999997E-2</v>
      </c>
      <c r="F19" s="30">
        <f t="shared" si="3"/>
        <v>0.12</v>
      </c>
      <c r="G19" s="4"/>
      <c r="H19" s="4"/>
    </row>
    <row r="20" spans="1:8" ht="23.5" x14ac:dyDescent="0.55000000000000004">
      <c r="A20" s="4" t="s">
        <v>19</v>
      </c>
      <c r="B20" s="4">
        <v>5</v>
      </c>
      <c r="C20" s="4">
        <v>0.2</v>
      </c>
      <c r="D20" s="4">
        <v>2</v>
      </c>
      <c r="E20" s="30">
        <f t="shared" si="2"/>
        <v>4.0000000000000001E-3</v>
      </c>
      <c r="F20" s="30">
        <f t="shared" si="3"/>
        <v>0.04</v>
      </c>
      <c r="G20" s="4"/>
      <c r="H20" s="4"/>
    </row>
    <row r="21" spans="1:8" ht="23.5" x14ac:dyDescent="0.55000000000000004">
      <c r="A21" s="4" t="s">
        <v>47</v>
      </c>
      <c r="B21" s="4">
        <v>45</v>
      </c>
      <c r="C21" s="4">
        <v>0.2</v>
      </c>
      <c r="D21" s="4">
        <v>1</v>
      </c>
      <c r="E21" s="30">
        <f t="shared" si="2"/>
        <v>3.5999999999999997E-2</v>
      </c>
      <c r="F21" s="30">
        <f t="shared" si="3"/>
        <v>0.18</v>
      </c>
      <c r="G21" s="4"/>
      <c r="H21" s="4" t="s">
        <v>35</v>
      </c>
    </row>
    <row r="22" spans="1:8" ht="23.5" x14ac:dyDescent="0.55000000000000004">
      <c r="A22" s="4" t="s">
        <v>48</v>
      </c>
      <c r="B22" s="4">
        <v>30</v>
      </c>
      <c r="C22" s="4">
        <v>0.4</v>
      </c>
      <c r="D22" s="4">
        <v>1</v>
      </c>
      <c r="E22" s="30">
        <f t="shared" si="2"/>
        <v>4.8000000000000001E-2</v>
      </c>
      <c r="F22" s="30">
        <f t="shared" si="3"/>
        <v>0.12</v>
      </c>
      <c r="G22" s="4"/>
      <c r="H22" s="4"/>
    </row>
    <row r="23" spans="1:8" ht="23.5" x14ac:dyDescent="0.55000000000000004">
      <c r="A23" s="4" t="s">
        <v>49</v>
      </c>
      <c r="B23" s="4">
        <v>200</v>
      </c>
      <c r="C23" s="4">
        <v>0.1</v>
      </c>
      <c r="D23" s="4">
        <v>0.05</v>
      </c>
      <c r="E23" s="30">
        <f t="shared" si="2"/>
        <v>0.08</v>
      </c>
      <c r="F23" s="30">
        <f t="shared" si="3"/>
        <v>0.04</v>
      </c>
      <c r="G23" s="4"/>
      <c r="H23" s="4" t="s">
        <v>35</v>
      </c>
    </row>
    <row r="24" spans="1:8" ht="23.5" x14ac:dyDescent="0.55000000000000004">
      <c r="A24" s="4" t="s">
        <v>50</v>
      </c>
      <c r="B24" s="4">
        <v>200</v>
      </c>
      <c r="C24" s="4">
        <v>0.1</v>
      </c>
      <c r="D24" s="4">
        <v>0.05</v>
      </c>
      <c r="E24" s="30">
        <f t="shared" si="2"/>
        <v>0.08</v>
      </c>
      <c r="F24" s="30">
        <f t="shared" si="3"/>
        <v>0.04</v>
      </c>
      <c r="G24" s="4"/>
      <c r="H24" s="4"/>
    </row>
    <row r="25" spans="1:8" ht="23.5" x14ac:dyDescent="0.55000000000000004">
      <c r="A25" s="4" t="s">
        <v>51</v>
      </c>
      <c r="B25" s="4">
        <v>80</v>
      </c>
      <c r="C25" s="4">
        <v>0.1</v>
      </c>
      <c r="D25" s="4">
        <v>0.05</v>
      </c>
      <c r="E25" s="30">
        <f t="shared" si="2"/>
        <v>3.2000000000000001E-2</v>
      </c>
      <c r="F25" s="30">
        <f t="shared" si="3"/>
        <v>1.6E-2</v>
      </c>
      <c r="G25" s="4"/>
      <c r="H25" s="4" t="s">
        <v>35</v>
      </c>
    </row>
    <row r="26" spans="1:8" ht="23.5" x14ac:dyDescent="0.55000000000000004">
      <c r="A26" s="4" t="s">
        <v>77</v>
      </c>
      <c r="B26" s="4">
        <v>40</v>
      </c>
      <c r="C26" s="4">
        <v>0.1</v>
      </c>
      <c r="D26" s="4">
        <v>1</v>
      </c>
      <c r="E26" s="30">
        <f t="shared" si="2"/>
        <v>1.6E-2</v>
      </c>
      <c r="F26" s="30">
        <f t="shared" si="3"/>
        <v>0.16</v>
      </c>
      <c r="G26" s="4"/>
      <c r="H26" s="4"/>
    </row>
    <row r="27" spans="1:8" ht="23.5" x14ac:dyDescent="0.55000000000000004">
      <c r="A27" s="4"/>
      <c r="B27" s="4"/>
      <c r="C27" s="4"/>
      <c r="D27" s="4"/>
      <c r="E27" s="30"/>
      <c r="F27" s="30"/>
      <c r="G27" s="4"/>
      <c r="H27" s="4"/>
    </row>
    <row r="28" spans="1:8" ht="23.5" x14ac:dyDescent="0.55000000000000004">
      <c r="A28" s="4" t="s">
        <v>26</v>
      </c>
      <c r="B28" s="4">
        <f>SUM(B5:B26)-B23-B24-B25-B16-B9</f>
        <v>494</v>
      </c>
      <c r="C28" s="4"/>
      <c r="D28" s="4"/>
      <c r="E28" s="30">
        <f>SUM(E5:E26)</f>
        <v>0.82560000000000011</v>
      </c>
      <c r="F28" s="30">
        <f>SUM(F5:F26)</f>
        <v>2.2320000000000002</v>
      </c>
      <c r="G28" s="4">
        <f>SUM(G5:G25)</f>
        <v>0.12</v>
      </c>
      <c r="H28" s="4" t="s">
        <v>35</v>
      </c>
    </row>
    <row r="29" spans="1:8" ht="23.5" x14ac:dyDescent="0.55000000000000004">
      <c r="A29" s="4" t="s">
        <v>25</v>
      </c>
      <c r="B29" s="4">
        <f>(B28/20)</f>
        <v>24.7</v>
      </c>
      <c r="C29" s="4"/>
      <c r="D29" s="4"/>
      <c r="E29" s="4"/>
      <c r="F29" s="4"/>
      <c r="G29" s="4"/>
      <c r="H29" s="4"/>
    </row>
    <row r="30" spans="1:8" ht="23.5" x14ac:dyDescent="0.55000000000000004">
      <c r="A30" s="4" t="s">
        <v>52</v>
      </c>
      <c r="B30" s="5">
        <f>F28*12/B29</f>
        <v>1.0843724696356276</v>
      </c>
      <c r="C30" s="4"/>
      <c r="D30" s="4"/>
      <c r="E30" s="4"/>
      <c r="F30" s="4"/>
      <c r="G30" s="4"/>
      <c r="H30" s="4"/>
    </row>
    <row r="31" spans="1:8" ht="23.5" x14ac:dyDescent="0.55000000000000004">
      <c r="A31" s="4" t="s">
        <v>28</v>
      </c>
      <c r="B31" s="5">
        <f>E28*12/B29</f>
        <v>0.40110121457489883</v>
      </c>
      <c r="C31" s="4"/>
      <c r="D31" s="4"/>
      <c r="E31" s="4"/>
      <c r="F31" s="4"/>
      <c r="G31" s="4"/>
      <c r="H31" s="4"/>
    </row>
    <row r="32" spans="1:8" ht="23.5" x14ac:dyDescent="0.55000000000000004">
      <c r="A32" s="4"/>
      <c r="B32" s="4"/>
      <c r="C32" s="4"/>
      <c r="D32" s="4"/>
      <c r="E32" s="4"/>
      <c r="F32" s="4"/>
      <c r="G32" s="4"/>
      <c r="H32" s="4"/>
    </row>
    <row r="33" spans="1:8" ht="23.5" x14ac:dyDescent="0.55000000000000004">
      <c r="A33" s="4"/>
      <c r="B33" s="4"/>
      <c r="C33" s="4"/>
      <c r="D33" s="4"/>
      <c r="E33" s="4"/>
      <c r="F33" s="4"/>
      <c r="G33" s="4"/>
      <c r="H33" s="4"/>
    </row>
    <row r="34" spans="1:8" ht="23.5" x14ac:dyDescent="0.55000000000000004">
      <c r="A34" s="4"/>
      <c r="B34" s="4"/>
      <c r="C34" s="4"/>
      <c r="D34" s="4"/>
      <c r="E34" s="4"/>
      <c r="F34" s="4"/>
      <c r="G34" s="4"/>
      <c r="H34" s="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tabSelected="1" topLeftCell="A7" zoomScale="58" zoomScaleNormal="58" workbookViewId="0">
      <pane xSplit="1" topLeftCell="B1" activePane="topRight" state="frozen"/>
      <selection pane="topRight" activeCell="E16" sqref="E16"/>
    </sheetView>
  </sheetViews>
  <sheetFormatPr defaultRowHeight="14.5" x14ac:dyDescent="0.35"/>
  <cols>
    <col min="1" max="1" width="72.54296875" customWidth="1"/>
    <col min="2" max="2" width="18.54296875" customWidth="1"/>
    <col min="3" max="3" width="19.54296875" customWidth="1"/>
    <col min="4" max="4" width="15.81640625" customWidth="1"/>
    <col min="5" max="5" width="17.7265625" customWidth="1"/>
    <col min="6" max="6" width="16.453125" customWidth="1"/>
    <col min="7" max="7" width="21.81640625" customWidth="1"/>
    <col min="8" max="8" width="41.1796875" customWidth="1"/>
    <col min="11" max="11" width="16.81640625" customWidth="1"/>
    <col min="12" max="12" width="17.7265625" customWidth="1"/>
  </cols>
  <sheetData>
    <row r="1" spans="1:27" ht="31.5" thickBot="1" x14ac:dyDescent="0.75">
      <c r="A1" s="12" t="s">
        <v>103</v>
      </c>
      <c r="B1" s="12"/>
      <c r="C1" s="12"/>
      <c r="D1" s="12"/>
      <c r="E1" s="12"/>
      <c r="F1" s="12"/>
      <c r="G1" s="12"/>
      <c r="H1" s="1"/>
      <c r="I1" s="1"/>
      <c r="J1" s="1"/>
      <c r="K1" s="2"/>
      <c r="L1" s="2"/>
      <c r="M1" s="1"/>
    </row>
    <row r="2" spans="1:27" ht="31" x14ac:dyDescent="0.7">
      <c r="A2" s="14" t="s">
        <v>53</v>
      </c>
      <c r="B2" s="15" t="s">
        <v>54</v>
      </c>
      <c r="C2" s="15" t="s">
        <v>55</v>
      </c>
      <c r="D2" s="15" t="s">
        <v>85</v>
      </c>
      <c r="E2" s="15" t="s">
        <v>56</v>
      </c>
      <c r="F2" s="15" t="s">
        <v>57</v>
      </c>
      <c r="G2" s="16" t="s">
        <v>58</v>
      </c>
      <c r="H2" s="1"/>
      <c r="I2" s="1"/>
      <c r="J2" s="1"/>
      <c r="K2" s="2" t="s">
        <v>59</v>
      </c>
      <c r="L2" s="2" t="s">
        <v>86</v>
      </c>
      <c r="M2" s="1"/>
    </row>
    <row r="3" spans="1:27" ht="31" x14ac:dyDescent="0.7">
      <c r="A3" s="17" t="s">
        <v>60</v>
      </c>
      <c r="B3" s="6">
        <v>1</v>
      </c>
      <c r="C3" s="6">
        <v>1916</v>
      </c>
      <c r="D3" s="6">
        <f>C3*0.454</f>
        <v>869.86400000000003</v>
      </c>
      <c r="E3" s="6">
        <v>33000</v>
      </c>
      <c r="F3" s="18">
        <v>0</v>
      </c>
      <c r="G3" s="19">
        <f t="shared" ref="G3:G23" si="0">E3*B3+F3</f>
        <v>33000</v>
      </c>
      <c r="H3" s="1" t="s">
        <v>88</v>
      </c>
      <c r="I3" s="1"/>
      <c r="J3" s="1"/>
      <c r="K3" s="2">
        <f>G3/C3</f>
        <v>17.223382045929018</v>
      </c>
      <c r="L3" s="2">
        <f>K3*2.2</f>
        <v>37.891440501043846</v>
      </c>
      <c r="M3" s="1" t="s">
        <v>89</v>
      </c>
    </row>
    <row r="4" spans="1:27" ht="31" x14ac:dyDescent="0.7">
      <c r="A4" s="17" t="s">
        <v>94</v>
      </c>
      <c r="B4" s="6">
        <f>C4/25</f>
        <v>138.32</v>
      </c>
      <c r="C4" s="6">
        <v>3458</v>
      </c>
      <c r="D4" s="6">
        <f t="shared" ref="D4:D6" si="1">C4*0.454</f>
        <v>1569.932</v>
      </c>
      <c r="E4" s="18">
        <v>1500</v>
      </c>
      <c r="F4" s="6"/>
      <c r="G4" s="19">
        <f t="shared" si="0"/>
        <v>207480</v>
      </c>
      <c r="H4" s="1" t="s">
        <v>61</v>
      </c>
      <c r="I4" s="1"/>
      <c r="J4" s="1"/>
      <c r="K4" s="2">
        <f t="shared" ref="K4:K6" si="2">G4/C4</f>
        <v>60</v>
      </c>
      <c r="L4" s="2">
        <f t="shared" ref="L4:L6" si="3">K4*2.2</f>
        <v>132</v>
      </c>
      <c r="M4" s="1" t="s">
        <v>87</v>
      </c>
    </row>
    <row r="5" spans="1:27" ht="31" x14ac:dyDescent="0.7">
      <c r="A5" s="17" t="s">
        <v>100</v>
      </c>
      <c r="B5" s="6">
        <f>C5/26</f>
        <v>2220.4230769230771</v>
      </c>
      <c r="C5" s="6">
        <v>57731</v>
      </c>
      <c r="D5" s="6">
        <f t="shared" si="1"/>
        <v>26209.874</v>
      </c>
      <c r="E5" s="6">
        <v>62</v>
      </c>
      <c r="F5" s="6">
        <v>2000</v>
      </c>
      <c r="G5" s="19">
        <f t="shared" si="0"/>
        <v>139666.23076923078</v>
      </c>
      <c r="H5" s="1" t="s">
        <v>62</v>
      </c>
      <c r="I5" s="1"/>
      <c r="J5" s="1"/>
      <c r="K5" s="2">
        <f t="shared" si="2"/>
        <v>2.419258817086674</v>
      </c>
      <c r="L5" s="2">
        <f t="shared" si="3"/>
        <v>5.3223693975906832</v>
      </c>
      <c r="M5" s="1" t="s">
        <v>63</v>
      </c>
    </row>
    <row r="6" spans="1:27" ht="31" x14ac:dyDescent="0.7">
      <c r="A6" s="17" t="s">
        <v>64</v>
      </c>
      <c r="B6" s="6">
        <f>C6/160</f>
        <v>89.481250000000003</v>
      </c>
      <c r="C6" s="6">
        <v>14317</v>
      </c>
      <c r="D6" s="6">
        <f t="shared" si="1"/>
        <v>6499.9180000000006</v>
      </c>
      <c r="E6" s="6">
        <v>800</v>
      </c>
      <c r="F6" s="6">
        <f>B6*400</f>
        <v>35792.5</v>
      </c>
      <c r="G6" s="19">
        <f t="shared" si="0"/>
        <v>107377.5</v>
      </c>
      <c r="H6" s="1" t="s">
        <v>65</v>
      </c>
      <c r="I6" s="1"/>
      <c r="J6" s="1"/>
      <c r="K6" s="2">
        <f t="shared" si="2"/>
        <v>7.5</v>
      </c>
      <c r="L6" s="2">
        <f t="shared" si="3"/>
        <v>16.5</v>
      </c>
      <c r="M6" s="1" t="s">
        <v>63</v>
      </c>
    </row>
    <row r="7" spans="1:27" ht="31" x14ac:dyDescent="0.7">
      <c r="A7" s="17" t="s">
        <v>90</v>
      </c>
      <c r="B7" s="6">
        <v>1</v>
      </c>
      <c r="C7" s="6">
        <v>3370</v>
      </c>
      <c r="D7" s="6">
        <f>C7*0.454</f>
        <v>1529.98</v>
      </c>
      <c r="E7" s="6">
        <f>C7*5</f>
        <v>16850</v>
      </c>
      <c r="F7" s="18">
        <v>10000</v>
      </c>
      <c r="G7" s="19">
        <f t="shared" si="0"/>
        <v>26850</v>
      </c>
      <c r="H7" s="1" t="s">
        <v>91</v>
      </c>
      <c r="I7" s="1"/>
      <c r="J7" s="1"/>
      <c r="K7" s="2">
        <f>G7/C7</f>
        <v>7.9673590504451042</v>
      </c>
      <c r="L7" s="2">
        <f>K7*2.2</f>
        <v>17.528189910979229</v>
      </c>
      <c r="M7" s="1" t="s">
        <v>93</v>
      </c>
    </row>
    <row r="8" spans="1:27" ht="31" x14ac:dyDescent="0.7">
      <c r="A8" s="17" t="s">
        <v>92</v>
      </c>
      <c r="B8" s="6">
        <v>1</v>
      </c>
      <c r="C8" s="6">
        <v>27555</v>
      </c>
      <c r="D8" s="6">
        <f>C8*0.454</f>
        <v>12509.970000000001</v>
      </c>
      <c r="E8" s="6">
        <f>C8*5</f>
        <v>137775</v>
      </c>
      <c r="F8" s="18">
        <v>10000</v>
      </c>
      <c r="G8" s="19">
        <f t="shared" si="0"/>
        <v>147775</v>
      </c>
      <c r="H8" s="1" t="s">
        <v>91</v>
      </c>
      <c r="I8" s="1"/>
      <c r="J8" s="1"/>
      <c r="K8" s="2">
        <f>G8/C8</f>
        <v>5.3629105425512611</v>
      </c>
      <c r="L8" s="2">
        <f>K8*2.2</f>
        <v>11.798403193612776</v>
      </c>
      <c r="M8" s="1" t="s">
        <v>93</v>
      </c>
    </row>
    <row r="9" spans="1:27" ht="31" x14ac:dyDescent="0.7">
      <c r="A9" s="17" t="s">
        <v>98</v>
      </c>
      <c r="B9" s="6">
        <f>D9/28</f>
        <v>893.92600000000004</v>
      </c>
      <c r="C9" s="6">
        <v>55132</v>
      </c>
      <c r="D9" s="6">
        <f>C9*0.454</f>
        <v>25029.928</v>
      </c>
      <c r="E9" s="6">
        <v>42</v>
      </c>
      <c r="F9" s="18">
        <v>10000</v>
      </c>
      <c r="G9" s="19">
        <f t="shared" si="0"/>
        <v>47544.892</v>
      </c>
      <c r="H9" s="1" t="s">
        <v>95</v>
      </c>
      <c r="I9" s="1"/>
      <c r="J9" s="1"/>
      <c r="K9" s="2">
        <f>G9/C9</f>
        <v>0.86238286294710875</v>
      </c>
      <c r="L9" s="2">
        <f>K9*2.2</f>
        <v>1.8972422984836395</v>
      </c>
      <c r="M9" s="1" t="s">
        <v>96</v>
      </c>
      <c r="AA9" t="s">
        <v>102</v>
      </c>
    </row>
    <row r="10" spans="1:27" ht="31" x14ac:dyDescent="0.7">
      <c r="A10" s="17" t="s">
        <v>83</v>
      </c>
      <c r="B10" s="6">
        <v>3</v>
      </c>
      <c r="C10" s="6"/>
      <c r="D10" s="6"/>
      <c r="E10" s="6">
        <v>2800</v>
      </c>
      <c r="F10" s="6"/>
      <c r="G10" s="19">
        <f t="shared" si="0"/>
        <v>8400</v>
      </c>
      <c r="H10" s="1"/>
      <c r="I10" s="1"/>
      <c r="J10" s="1"/>
      <c r="K10" s="2"/>
      <c r="L10" s="2"/>
      <c r="M10" s="1"/>
    </row>
    <row r="11" spans="1:27" ht="28.5" x14ac:dyDescent="0.65">
      <c r="A11" s="20" t="s">
        <v>66</v>
      </c>
      <c r="B11" s="6">
        <v>1</v>
      </c>
      <c r="C11" s="6">
        <v>2000</v>
      </c>
      <c r="D11" s="6"/>
      <c r="E11" s="7">
        <v>30000</v>
      </c>
      <c r="F11" s="6"/>
      <c r="G11" s="19">
        <f t="shared" si="0"/>
        <v>30000</v>
      </c>
    </row>
    <row r="12" spans="1:27" ht="28.5" x14ac:dyDescent="0.65">
      <c r="A12" s="20" t="s">
        <v>101</v>
      </c>
      <c r="B12" s="6">
        <v>1</v>
      </c>
      <c r="C12" s="6"/>
      <c r="D12" s="6"/>
      <c r="E12" s="7">
        <v>14000</v>
      </c>
      <c r="F12" s="6"/>
      <c r="G12" s="19">
        <f t="shared" si="0"/>
        <v>14000</v>
      </c>
    </row>
    <row r="13" spans="1:27" ht="28.5" x14ac:dyDescent="0.65">
      <c r="A13" s="20" t="s">
        <v>67</v>
      </c>
      <c r="B13" s="6">
        <v>1</v>
      </c>
      <c r="C13" s="6"/>
      <c r="D13" s="6"/>
      <c r="E13" s="7">
        <v>4000</v>
      </c>
      <c r="F13" s="6"/>
      <c r="G13" s="19">
        <f t="shared" si="0"/>
        <v>4000</v>
      </c>
    </row>
    <row r="14" spans="1:27" ht="28.5" x14ac:dyDescent="0.65">
      <c r="A14" s="20" t="s">
        <v>68</v>
      </c>
      <c r="B14" s="6">
        <v>1</v>
      </c>
      <c r="C14" s="6"/>
      <c r="D14" s="6"/>
      <c r="E14" s="7">
        <v>5000</v>
      </c>
      <c r="F14" s="6"/>
      <c r="G14" s="19">
        <f t="shared" si="0"/>
        <v>5000</v>
      </c>
    </row>
    <row r="15" spans="1:27" ht="28.5" x14ac:dyDescent="0.65">
      <c r="A15" s="20" t="s">
        <v>116</v>
      </c>
      <c r="B15" s="6">
        <v>1</v>
      </c>
      <c r="C15" s="6"/>
      <c r="D15" s="6"/>
      <c r="E15" s="7">
        <v>15000</v>
      </c>
      <c r="F15" s="6"/>
      <c r="G15" s="19">
        <f t="shared" si="0"/>
        <v>15000</v>
      </c>
    </row>
    <row r="16" spans="1:27" ht="28.5" x14ac:dyDescent="0.65">
      <c r="A16" s="20" t="s">
        <v>75</v>
      </c>
      <c r="B16" s="6">
        <v>1</v>
      </c>
      <c r="C16" s="6"/>
      <c r="D16" s="6"/>
      <c r="E16" s="7">
        <v>15000</v>
      </c>
      <c r="F16" s="6"/>
      <c r="G16" s="19">
        <f t="shared" si="0"/>
        <v>15000</v>
      </c>
      <c r="M16" s="10" t="s">
        <v>84</v>
      </c>
    </row>
    <row r="17" spans="1:8" ht="28.5" x14ac:dyDescent="0.65">
      <c r="A17" s="20" t="s">
        <v>69</v>
      </c>
      <c r="B17" s="6">
        <v>1</v>
      </c>
      <c r="C17" s="6">
        <v>2202.65</v>
      </c>
      <c r="D17" s="6">
        <f>C17*0.454</f>
        <v>1000.0031</v>
      </c>
      <c r="E17" s="7">
        <v>110000</v>
      </c>
      <c r="F17" s="6"/>
      <c r="G17" s="19">
        <f t="shared" si="0"/>
        <v>110000</v>
      </c>
      <c r="H17" s="11" t="s">
        <v>72</v>
      </c>
    </row>
    <row r="18" spans="1:8" ht="28.5" x14ac:dyDescent="0.65">
      <c r="A18" s="20" t="s">
        <v>70</v>
      </c>
      <c r="B18" s="6">
        <v>1</v>
      </c>
      <c r="C18" s="6"/>
      <c r="D18" s="6"/>
      <c r="E18" s="7">
        <v>200000</v>
      </c>
      <c r="F18" s="6"/>
      <c r="G18" s="19">
        <f t="shared" si="0"/>
        <v>200000</v>
      </c>
    </row>
    <row r="19" spans="1:8" ht="28.5" x14ac:dyDescent="0.65">
      <c r="A19" s="20" t="s">
        <v>76</v>
      </c>
      <c r="B19" s="6">
        <v>1</v>
      </c>
      <c r="C19" s="6"/>
      <c r="D19" s="6"/>
      <c r="E19" s="7">
        <v>15000</v>
      </c>
      <c r="F19" s="6"/>
      <c r="G19" s="19">
        <f t="shared" si="0"/>
        <v>15000</v>
      </c>
    </row>
    <row r="20" spans="1:8" ht="28.5" x14ac:dyDescent="0.65">
      <c r="A20" s="20" t="s">
        <v>73</v>
      </c>
      <c r="B20" s="6">
        <v>1</v>
      </c>
      <c r="C20" s="6"/>
      <c r="D20" s="6"/>
      <c r="E20" s="7">
        <v>20000</v>
      </c>
      <c r="F20" s="6"/>
      <c r="G20" s="19">
        <f t="shared" si="0"/>
        <v>20000</v>
      </c>
    </row>
    <row r="21" spans="1:8" ht="28.5" x14ac:dyDescent="0.65">
      <c r="A21" s="20" t="s">
        <v>79</v>
      </c>
      <c r="B21" s="7">
        <v>20</v>
      </c>
      <c r="C21" s="6"/>
      <c r="D21" s="6"/>
      <c r="E21" s="7">
        <v>200</v>
      </c>
      <c r="F21" s="6"/>
      <c r="G21" s="21">
        <f t="shared" si="0"/>
        <v>4000</v>
      </c>
    </row>
    <row r="22" spans="1:8" ht="28.5" x14ac:dyDescent="0.65">
      <c r="A22" s="22" t="s">
        <v>80</v>
      </c>
      <c r="B22" s="9">
        <v>1</v>
      </c>
      <c r="C22" s="23"/>
      <c r="D22" s="23"/>
      <c r="E22" s="9">
        <v>20000</v>
      </c>
      <c r="F22" s="23"/>
      <c r="G22" s="24">
        <f t="shared" si="0"/>
        <v>20000</v>
      </c>
    </row>
    <row r="23" spans="1:8" ht="29" thickBot="1" x14ac:dyDescent="0.7">
      <c r="A23" s="25" t="s">
        <v>78</v>
      </c>
      <c r="B23" s="8">
        <v>5</v>
      </c>
      <c r="C23" s="26"/>
      <c r="D23" s="26"/>
      <c r="E23" s="8">
        <v>1500</v>
      </c>
      <c r="F23" s="26"/>
      <c r="G23" s="27">
        <f t="shared" si="0"/>
        <v>7500</v>
      </c>
    </row>
    <row r="24" spans="1:8" ht="28.5" x14ac:dyDescent="0.65">
      <c r="A24" s="28" t="s">
        <v>71</v>
      </c>
      <c r="B24" s="29"/>
      <c r="C24" s="29">
        <f>SUM(C3:C23)</f>
        <v>167681.65</v>
      </c>
      <c r="D24" s="29">
        <f>SUM(D3:D23)</f>
        <v>75219.469100000002</v>
      </c>
      <c r="E24" s="29"/>
      <c r="F24" s="29"/>
      <c r="G24" s="13">
        <f>SUM(G3:G23)</f>
        <v>1177593.6227692307</v>
      </c>
    </row>
    <row r="25" spans="1:8" ht="28.5" x14ac:dyDescent="0.65">
      <c r="G25" s="3">
        <f>SUM(G3:G9)+G17</f>
        <v>819693.62276923074</v>
      </c>
      <c r="H25" s="12" t="s">
        <v>97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Installation</vt:lpstr>
      <vt:lpstr>Design and procure</vt:lpstr>
      <vt:lpstr>Pavel Material 75</vt:lpstr>
    </vt:vector>
  </TitlesOfParts>
  <Company>JLAB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whitey</dc:creator>
  <cp:lastModifiedBy>whitey</cp:lastModifiedBy>
  <dcterms:created xsi:type="dcterms:W3CDTF">2022-12-14T18:26:36Z</dcterms:created>
  <dcterms:modified xsi:type="dcterms:W3CDTF">2023-09-28T19:58:00Z</dcterms:modified>
</cp:coreProperties>
</file>