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J:\Hall  D\KLong\"/>
    </mc:Choice>
  </mc:AlternateContent>
  <bookViews>
    <workbookView xWindow="0" yWindow="0" windowWidth="19035" windowHeight="8745" activeTab="4"/>
  </bookViews>
  <sheets>
    <sheet name="Installation" sheetId="1" r:id="rId1"/>
    <sheet name="Material" sheetId="3" r:id="rId2"/>
    <sheet name="Design and procure" sheetId="2" r:id="rId3"/>
    <sheet name="Pavel Material" sheetId="4" r:id="rId4"/>
    <sheet name="Vitaly Material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5" l="1"/>
  <c r="K9" i="5" s="1"/>
  <c r="L9" i="5" s="1"/>
  <c r="D9" i="5"/>
  <c r="G24" i="4" l="1"/>
  <c r="C16" i="5"/>
  <c r="C23" i="5" s="1"/>
  <c r="G24" i="5"/>
  <c r="B9" i="4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E7" i="5"/>
  <c r="G7" i="5" s="1"/>
  <c r="K7" i="5" s="1"/>
  <c r="L7" i="5" s="1"/>
  <c r="D7" i="5"/>
  <c r="D6" i="5"/>
  <c r="B6" i="5"/>
  <c r="F6" i="5" s="1"/>
  <c r="G6" i="5" s="1"/>
  <c r="K6" i="5" s="1"/>
  <c r="L6" i="5" s="1"/>
  <c r="D5" i="5"/>
  <c r="B5" i="5"/>
  <c r="G5" i="5" s="1"/>
  <c r="K5" i="5" s="1"/>
  <c r="L5" i="5" s="1"/>
  <c r="G3" i="5"/>
  <c r="K3" i="5" s="1"/>
  <c r="L3" i="5" s="1"/>
  <c r="D3" i="5"/>
  <c r="D16" i="4"/>
  <c r="G9" i="4"/>
  <c r="K9" i="4" s="1"/>
  <c r="L9" i="4" s="1"/>
  <c r="D9" i="4"/>
  <c r="E8" i="4"/>
  <c r="G8" i="4" s="1"/>
  <c r="K8" i="4" s="1"/>
  <c r="L8" i="4" s="1"/>
  <c r="D8" i="4"/>
  <c r="E7" i="4"/>
  <c r="G7" i="4" s="1"/>
  <c r="K7" i="4" s="1"/>
  <c r="L7" i="4" s="1"/>
  <c r="D7" i="4"/>
  <c r="D6" i="4"/>
  <c r="D5" i="4"/>
  <c r="D4" i="4"/>
  <c r="G3" i="4"/>
  <c r="D3" i="4"/>
  <c r="C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B6" i="4"/>
  <c r="B5" i="4"/>
  <c r="G5" i="4" s="1"/>
  <c r="K5" i="4" s="1"/>
  <c r="L5" i="4" s="1"/>
  <c r="E4" i="4"/>
  <c r="B4" i="4"/>
  <c r="D16" i="5" l="1"/>
  <c r="D23" i="5"/>
  <c r="G23" i="5"/>
  <c r="D23" i="4"/>
  <c r="G4" i="4"/>
  <c r="K4" i="4" s="1"/>
  <c r="L4" i="4" s="1"/>
  <c r="K3" i="4"/>
  <c r="L3" i="4" s="1"/>
  <c r="F6" i="4"/>
  <c r="G6" i="4" s="1"/>
  <c r="F7" i="3"/>
  <c r="F14" i="2"/>
  <c r="E14" i="2"/>
  <c r="F24" i="1"/>
  <c r="E24" i="1"/>
  <c r="H24" i="1"/>
  <c r="F18" i="3"/>
  <c r="B27" i="2"/>
  <c r="B28" i="2" s="1"/>
  <c r="F15" i="3"/>
  <c r="F19" i="3"/>
  <c r="F17" i="3"/>
  <c r="F12" i="3"/>
  <c r="K6" i="4" l="1"/>
  <c r="L6" i="4" s="1"/>
  <c r="G23" i="4"/>
  <c r="F16" i="3"/>
  <c r="F14" i="3"/>
  <c r="F13" i="3"/>
  <c r="F11" i="3"/>
  <c r="F10" i="3"/>
  <c r="F9" i="3"/>
  <c r="F8" i="3"/>
  <c r="B6" i="3"/>
  <c r="B5" i="3"/>
  <c r="F5" i="3" s="1"/>
  <c r="J5" i="3" s="1"/>
  <c r="D4" i="3"/>
  <c r="F4" i="3" s="1"/>
  <c r="B4" i="3"/>
  <c r="J3" i="3"/>
  <c r="F3" i="3"/>
  <c r="J4" i="3" l="1"/>
  <c r="E6" i="3"/>
  <c r="F6" i="3" s="1"/>
  <c r="J6" i="3" s="1"/>
  <c r="F20" i="3" l="1"/>
  <c r="F25" i="2"/>
  <c r="E25" i="2"/>
  <c r="G11" i="2"/>
  <c r="G27" i="2"/>
  <c r="F9" i="2"/>
  <c r="F27" i="2" s="1"/>
  <c r="E9" i="2"/>
  <c r="F24" i="2"/>
  <c r="E24" i="2"/>
  <c r="F23" i="2"/>
  <c r="E23" i="2"/>
  <c r="F22" i="2"/>
  <c r="E22" i="2"/>
  <c r="F21" i="2"/>
  <c r="E21" i="2"/>
  <c r="F20" i="2"/>
  <c r="E20" i="2"/>
  <c r="F19" i="2"/>
  <c r="E19" i="2"/>
  <c r="F18" i="2"/>
  <c r="E18" i="2"/>
  <c r="F17" i="2"/>
  <c r="E17" i="2"/>
  <c r="F16" i="2"/>
  <c r="E16" i="2"/>
  <c r="F15" i="2"/>
  <c r="E15" i="2"/>
  <c r="F13" i="2"/>
  <c r="E13" i="2"/>
  <c r="F12" i="2"/>
  <c r="E12" i="2"/>
  <c r="F11" i="2"/>
  <c r="E11" i="2"/>
  <c r="F8" i="2"/>
  <c r="E8" i="2"/>
  <c r="F7" i="2"/>
  <c r="E7" i="2"/>
  <c r="F6" i="2"/>
  <c r="E6" i="2"/>
  <c r="F5" i="2"/>
  <c r="E5" i="2"/>
  <c r="E27" i="2" l="1"/>
  <c r="B30" i="2" s="1"/>
  <c r="B29" i="2"/>
  <c r="H25" i="1"/>
  <c r="H27" i="1" s="1"/>
  <c r="F25" i="1"/>
  <c r="E25" i="1"/>
  <c r="G27" i="1"/>
  <c r="F23" i="1"/>
  <c r="B27" i="1"/>
  <c r="B28" i="1" s="1"/>
  <c r="E23" i="1"/>
  <c r="H22" i="1"/>
  <c r="F22" i="1"/>
  <c r="E22" i="1"/>
  <c r="F21" i="1"/>
  <c r="E21" i="1"/>
  <c r="H19" i="1"/>
  <c r="F20" i="1"/>
  <c r="F19" i="1"/>
  <c r="E20" i="1"/>
  <c r="E19" i="1"/>
  <c r="F18" i="1"/>
  <c r="E18" i="1"/>
  <c r="F17" i="1"/>
  <c r="E17" i="1"/>
  <c r="F16" i="1"/>
  <c r="E16" i="1"/>
  <c r="F15" i="1"/>
  <c r="E15" i="1"/>
  <c r="H15" i="1"/>
  <c r="F14" i="1"/>
  <c r="E14" i="1"/>
  <c r="F13" i="1"/>
  <c r="H12" i="1"/>
  <c r="H11" i="1"/>
  <c r="G10" i="1"/>
  <c r="E13" i="1"/>
  <c r="E12" i="1"/>
  <c r="F12" i="1"/>
  <c r="F11" i="1"/>
  <c r="E11" i="1"/>
  <c r="F10" i="1"/>
  <c r="E10" i="1"/>
  <c r="F8" i="1"/>
  <c r="E8" i="1"/>
  <c r="F7" i="1"/>
  <c r="E7" i="1"/>
  <c r="F6" i="1"/>
  <c r="E6" i="1"/>
  <c r="F5" i="1"/>
  <c r="E5" i="1"/>
  <c r="E27" i="1" l="1"/>
  <c r="B30" i="1" s="1"/>
  <c r="F27" i="1"/>
  <c r="B29" i="1" s="1"/>
  <c r="B32" i="1" s="1"/>
</calcChain>
</file>

<file path=xl/sharedStrings.xml><?xml version="1.0" encoding="utf-8"?>
<sst xmlns="http://schemas.openxmlformats.org/spreadsheetml/2006/main" count="238" uniqueCount="116">
  <si>
    <t>KLONG CPS Installation</t>
  </si>
  <si>
    <t>Task</t>
  </si>
  <si>
    <t>Duration</t>
  </si>
  <si>
    <t>Eng</t>
  </si>
  <si>
    <t>Tech</t>
  </si>
  <si>
    <t>FTE</t>
  </si>
  <si>
    <t>#</t>
  </si>
  <si>
    <t>Days</t>
  </si>
  <si>
    <t>Remove old equipment</t>
  </si>
  <si>
    <t xml:space="preserve">      Crates</t>
  </si>
  <si>
    <t xml:space="preserve">      microscope</t>
  </si>
  <si>
    <t xml:space="preserve">      Hodoscope</t>
  </si>
  <si>
    <t xml:space="preserve">      Beamline</t>
  </si>
  <si>
    <t>Install CPS</t>
  </si>
  <si>
    <t xml:space="preserve">      Install Concrete Base</t>
  </si>
  <si>
    <t xml:space="preserve">      Install rails</t>
  </si>
  <si>
    <t xml:space="preserve">      Install support structure</t>
  </si>
  <si>
    <t xml:space="preserve">      Install magnets</t>
  </si>
  <si>
    <t xml:space="preserve">      Survey and alignment</t>
  </si>
  <si>
    <t xml:space="preserve">      Install radiator</t>
  </si>
  <si>
    <t xml:space="preserve">      Install partial shielding</t>
  </si>
  <si>
    <t xml:space="preserve">      Survey and Alignment</t>
  </si>
  <si>
    <t xml:space="preserve">      Install Power Supplies</t>
  </si>
  <si>
    <t xml:space="preserve">      Test Magnets</t>
  </si>
  <si>
    <t>Facilities</t>
  </si>
  <si>
    <t>S&amp;A</t>
  </si>
  <si>
    <t xml:space="preserve">      Install cooling system</t>
  </si>
  <si>
    <t xml:space="preserve">      Install Perm Magnet</t>
  </si>
  <si>
    <t xml:space="preserve">      Install beamline &amp; windows</t>
  </si>
  <si>
    <t xml:space="preserve">      Install remaining shielding</t>
  </si>
  <si>
    <t>Duration in months</t>
  </si>
  <si>
    <t>Totals</t>
  </si>
  <si>
    <t>Techs required for duration (ave)</t>
  </si>
  <si>
    <t>Eng required for duration (ave)</t>
  </si>
  <si>
    <t xml:space="preserve">      Final Survey</t>
  </si>
  <si>
    <t>KLONG CPS Design</t>
  </si>
  <si>
    <t>Design  new beamline</t>
  </si>
  <si>
    <t>Des</t>
  </si>
  <si>
    <t xml:space="preserve">      Perm Magnet setup</t>
  </si>
  <si>
    <t xml:space="preserve">      Vacuum pump setup</t>
  </si>
  <si>
    <t xml:space="preserve"> </t>
  </si>
  <si>
    <t xml:space="preserve">      Beamline layout</t>
  </si>
  <si>
    <t xml:space="preserve">     Final  Beamline drawings</t>
  </si>
  <si>
    <t xml:space="preserve">     Component procurement</t>
  </si>
  <si>
    <t>Design CPS</t>
  </si>
  <si>
    <t xml:space="preserve">     Design Concrete Base</t>
  </si>
  <si>
    <t xml:space="preserve">     Design rails</t>
  </si>
  <si>
    <t xml:space="preserve">      Design support structure/strongback</t>
  </si>
  <si>
    <t xml:space="preserve">     Design magnets</t>
  </si>
  <si>
    <t xml:space="preserve">     Procure Magnets and  Power Supplies</t>
  </si>
  <si>
    <t xml:space="preserve">      Design radiator</t>
  </si>
  <si>
    <t xml:space="preserve">     Design shielding</t>
  </si>
  <si>
    <t xml:space="preserve">      Design alignment system</t>
  </si>
  <si>
    <t xml:space="preserve">      Design cooling system</t>
  </si>
  <si>
    <t xml:space="preserve">      Procure all shileding components</t>
  </si>
  <si>
    <t xml:space="preserve">      Procure rails, strongback and cooling</t>
  </si>
  <si>
    <t xml:space="preserve">      Procure radiator components</t>
  </si>
  <si>
    <t>Des required for duration (ave)</t>
  </si>
  <si>
    <t>Klong Compact Photon Source</t>
  </si>
  <si>
    <t>Component</t>
  </si>
  <si>
    <t>qty</t>
  </si>
  <si>
    <t>Lbs</t>
  </si>
  <si>
    <t>cost ea $</t>
  </si>
  <si>
    <t>Fab cost  $</t>
  </si>
  <si>
    <t>Total cost $</t>
  </si>
  <si>
    <t>cost $/lb</t>
  </si>
  <si>
    <t>Copper absorber</t>
  </si>
  <si>
    <t>as manufactured in 4 sections</t>
  </si>
  <si>
    <t>Quote from manufacturer</t>
  </si>
  <si>
    <t>Tungsten absorbers</t>
  </si>
  <si>
    <t>small blocks (25 lbs ea)</t>
  </si>
  <si>
    <t>based on 4 year old quote x a factor 0f 1.2</t>
  </si>
  <si>
    <t>Lead Bricks</t>
  </si>
  <si>
    <t>2x4x8 inch^3 bricks (26 lbs ea)</t>
  </si>
  <si>
    <t>based on quote from last year</t>
  </si>
  <si>
    <t>borated poly sheets</t>
  </si>
  <si>
    <t>1"x48"x96" (160 lbs ea)</t>
  </si>
  <si>
    <t>Support Structure</t>
  </si>
  <si>
    <t>Rail System</t>
  </si>
  <si>
    <t>Water Cooling System</t>
  </si>
  <si>
    <t>Magnet</t>
  </si>
  <si>
    <t>Power Supply</t>
  </si>
  <si>
    <t>Total Materials</t>
  </si>
  <si>
    <t>estimate from Everson Tesla</t>
  </si>
  <si>
    <t>Concrete pier</t>
  </si>
  <si>
    <t>Techs with overhead for safety and training</t>
  </si>
  <si>
    <t>Beamline Plus girder</t>
  </si>
  <si>
    <t>Radiator (3 position remotely)</t>
  </si>
  <si>
    <t>Machining of shielding components</t>
  </si>
  <si>
    <t xml:space="preserve">     Installation Drawings</t>
  </si>
  <si>
    <t>PLC modules and shielding</t>
  </si>
  <si>
    <t>Temperature sensors and wires</t>
  </si>
  <si>
    <t>Vacuum Pump and controllers</t>
  </si>
  <si>
    <t xml:space="preserve">      Install New Girder</t>
  </si>
  <si>
    <t xml:space="preserve">      Design adjustment system</t>
  </si>
  <si>
    <t>Adjustment components</t>
  </si>
  <si>
    <t>Klong Compact Photon Source - Pavel</t>
  </si>
  <si>
    <t>Magnet 1.0; Cu 1.45; WCu 0.23; FeCore 1.56; Pb 40.39; FeShield 17.56; BariteCPS 29.92; B.Poly 5.2 --&gt; CPStot 97.31 .</t>
  </si>
  <si>
    <t>Kg</t>
  </si>
  <si>
    <t>cost/kg</t>
  </si>
  <si>
    <t>based on 4 year old quote for tungsten x a factor 0f 1.2</t>
  </si>
  <si>
    <t>as manufactured in 2 sections</t>
  </si>
  <si>
    <t>based old Quote from manufacturer</t>
  </si>
  <si>
    <t>Iron core</t>
  </si>
  <si>
    <t>machined in several pieces</t>
  </si>
  <si>
    <t>Iron shield</t>
  </si>
  <si>
    <t>based on current material costs and machining</t>
  </si>
  <si>
    <t>WCu absorbers</t>
  </si>
  <si>
    <t>28kg blocks 4x8x16"</t>
  </si>
  <si>
    <t>based on material cost and guess at what it would take to fabricate</t>
  </si>
  <si>
    <t>Klong Compact Photon Source -Vitaly</t>
  </si>
  <si>
    <t>Iron Shield N/A</t>
  </si>
  <si>
    <t>WCu absorbers N/A</t>
  </si>
  <si>
    <t>Total for just absorber, magnet and shielding</t>
  </si>
  <si>
    <t>Barite concrete (CPS and beamline)</t>
  </si>
  <si>
    <t>Beamline Borated Concrete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</si>
</sst>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1" fillId="0" borderId="1" xfId="0" applyFont="1" applyBorder="1"/>
    <xf numFmtId="0" fontId="1" fillId="0" borderId="2" xfId="0" applyFont="1" applyBorder="1"/>
    <xf numFmtId="3" fontId="1" fillId="0" borderId="2" xfId="0" applyNumberFormat="1" applyFont="1" applyBorder="1"/>
    <xf numFmtId="3" fontId="1" fillId="0" borderId="3" xfId="0" applyNumberFormat="1" applyFont="1" applyBorder="1"/>
    <xf numFmtId="0" fontId="1" fillId="0" borderId="0" xfId="0" applyFont="1" applyFill="1" applyBorder="1"/>
    <xf numFmtId="3" fontId="3" fillId="0" borderId="0" xfId="0" applyNumberFormat="1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1" xfId="0" applyFont="1" applyFill="1" applyBorder="1"/>
    <xf numFmtId="0" fontId="0" fillId="0" borderId="2" xfId="0" applyBorder="1"/>
    <xf numFmtId="0" fontId="1" fillId="0" borderId="2" xfId="0" applyFont="1" applyFill="1" applyBorder="1"/>
    <xf numFmtId="0" fontId="1" fillId="0" borderId="7" xfId="0" applyFont="1" applyFill="1" applyBorder="1"/>
    <xf numFmtId="0" fontId="0" fillId="0" borderId="8" xfId="0" applyBorder="1"/>
    <xf numFmtId="0" fontId="1" fillId="0" borderId="8" xfId="0" applyFont="1" applyFill="1" applyBorder="1"/>
    <xf numFmtId="0" fontId="2" fillId="0" borderId="0" xfId="0" applyFont="1"/>
    <xf numFmtId="2" fontId="2" fillId="0" borderId="0" xfId="0" applyNumberFormat="1" applyFont="1"/>
    <xf numFmtId="0" fontId="3" fillId="0" borderId="2" xfId="0" applyFont="1" applyBorder="1"/>
    <xf numFmtId="0" fontId="3" fillId="0" borderId="2" xfId="0" applyFont="1" applyFill="1" applyBorder="1"/>
    <xf numFmtId="3" fontId="1" fillId="0" borderId="3" xfId="0" applyNumberFormat="1" applyFont="1" applyFill="1" applyBorder="1"/>
    <xf numFmtId="0" fontId="3" fillId="0" borderId="8" xfId="0" applyFont="1" applyFill="1" applyBorder="1"/>
    <xf numFmtId="3" fontId="1" fillId="0" borderId="9" xfId="0" applyNumberFormat="1" applyFont="1" applyFill="1" applyBorder="1"/>
    <xf numFmtId="0" fontId="1" fillId="0" borderId="10" xfId="0" applyFont="1" applyFill="1" applyBorder="1"/>
    <xf numFmtId="0" fontId="3" fillId="0" borderId="11" xfId="0" applyFont="1" applyFill="1" applyBorder="1"/>
    <xf numFmtId="0" fontId="0" fillId="0" borderId="11" xfId="0" applyBorder="1"/>
    <xf numFmtId="0" fontId="1" fillId="0" borderId="11" xfId="0" applyFont="1" applyFill="1" applyBorder="1"/>
    <xf numFmtId="3" fontId="1" fillId="0" borderId="12" xfId="0" applyNumberFormat="1" applyFont="1" applyFill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33"/>
  <sheetViews>
    <sheetView workbookViewId="0">
      <selection activeCell="H6" sqref="H6"/>
    </sheetView>
  </sheetViews>
  <sheetFormatPr defaultRowHeight="15" x14ac:dyDescent="0.25"/>
  <cols>
    <col min="1" max="1" width="61.140625" customWidth="1"/>
    <col min="2" max="2" width="16.85546875" customWidth="1"/>
    <col min="3" max="3" width="10" customWidth="1"/>
    <col min="5" max="5" width="13.140625" customWidth="1"/>
    <col min="7" max="7" width="12.7109375" customWidth="1"/>
  </cols>
  <sheetData>
    <row r="1" spans="1:9" ht="23.25" x14ac:dyDescent="0.35">
      <c r="A1" s="18" t="s">
        <v>0</v>
      </c>
      <c r="B1" s="18"/>
      <c r="C1" s="18"/>
      <c r="D1" s="18"/>
      <c r="E1" s="18"/>
      <c r="F1" s="18"/>
      <c r="G1" s="18"/>
      <c r="H1" s="18"/>
      <c r="I1" s="18"/>
    </row>
    <row r="2" spans="1:9" ht="23.25" x14ac:dyDescent="0.35">
      <c r="A2" s="18"/>
      <c r="B2" s="18" t="s">
        <v>7</v>
      </c>
      <c r="C2" s="18" t="s">
        <v>6</v>
      </c>
      <c r="D2" s="18" t="s">
        <v>6</v>
      </c>
      <c r="E2" s="18" t="s">
        <v>5</v>
      </c>
      <c r="F2" s="18" t="s">
        <v>5</v>
      </c>
      <c r="G2" s="18" t="s">
        <v>5</v>
      </c>
      <c r="H2" s="18" t="s">
        <v>5</v>
      </c>
      <c r="I2" s="18"/>
    </row>
    <row r="3" spans="1:9" ht="23.25" x14ac:dyDescent="0.35">
      <c r="A3" s="18" t="s">
        <v>1</v>
      </c>
      <c r="B3" s="18" t="s">
        <v>2</v>
      </c>
      <c r="C3" s="18" t="s">
        <v>3</v>
      </c>
      <c r="D3" s="18" t="s">
        <v>4</v>
      </c>
      <c r="E3" s="18" t="s">
        <v>3</v>
      </c>
      <c r="F3" s="18" t="s">
        <v>4</v>
      </c>
      <c r="G3" s="18" t="s">
        <v>24</v>
      </c>
      <c r="H3" s="18" t="s">
        <v>25</v>
      </c>
      <c r="I3" s="18"/>
    </row>
    <row r="4" spans="1:9" ht="23.25" x14ac:dyDescent="0.35">
      <c r="A4" s="18" t="s">
        <v>8</v>
      </c>
      <c r="B4" s="18"/>
      <c r="C4" s="18"/>
      <c r="D4" s="18"/>
      <c r="E4" s="18"/>
      <c r="F4" s="18"/>
      <c r="G4" s="18"/>
      <c r="H4" s="18"/>
      <c r="I4" s="18"/>
    </row>
    <row r="5" spans="1:9" ht="23.25" x14ac:dyDescent="0.35">
      <c r="A5" s="18" t="s">
        <v>9</v>
      </c>
      <c r="B5" s="18">
        <v>5</v>
      </c>
      <c r="C5" s="18">
        <v>0.1</v>
      </c>
      <c r="D5" s="18">
        <v>3</v>
      </c>
      <c r="E5" s="18">
        <f>B5*C5/250</f>
        <v>2E-3</v>
      </c>
      <c r="F5" s="18">
        <f>B5*D5/250</f>
        <v>0.06</v>
      </c>
      <c r="G5" s="18"/>
      <c r="H5" s="18"/>
      <c r="I5" s="18"/>
    </row>
    <row r="6" spans="1:9" ht="23.25" x14ac:dyDescent="0.35">
      <c r="A6" s="18" t="s">
        <v>10</v>
      </c>
      <c r="B6" s="18">
        <v>3</v>
      </c>
      <c r="C6" s="18">
        <v>0.1</v>
      </c>
      <c r="D6" s="18">
        <v>3</v>
      </c>
      <c r="E6" s="18">
        <f t="shared" ref="E6:E8" si="0">B6*C6/250</f>
        <v>1.2000000000000001E-3</v>
      </c>
      <c r="F6" s="18">
        <f t="shared" ref="F6:F8" si="1">B6*D6/250</f>
        <v>3.5999999999999997E-2</v>
      </c>
      <c r="G6" s="18"/>
      <c r="H6" s="18"/>
      <c r="I6" s="18"/>
    </row>
    <row r="7" spans="1:9" ht="23.25" x14ac:dyDescent="0.35">
      <c r="A7" s="18" t="s">
        <v>11</v>
      </c>
      <c r="B7" s="18">
        <v>3</v>
      </c>
      <c r="C7" s="18">
        <v>0.1</v>
      </c>
      <c r="D7" s="18">
        <v>2</v>
      </c>
      <c r="E7" s="18">
        <f t="shared" si="0"/>
        <v>1.2000000000000001E-3</v>
      </c>
      <c r="F7" s="18">
        <f t="shared" si="1"/>
        <v>2.4E-2</v>
      </c>
      <c r="G7" s="18"/>
      <c r="H7" s="18"/>
      <c r="I7" s="18"/>
    </row>
    <row r="8" spans="1:9" ht="23.25" x14ac:dyDescent="0.35">
      <c r="A8" s="18" t="s">
        <v>12</v>
      </c>
      <c r="B8" s="18">
        <v>5</v>
      </c>
      <c r="C8" s="18">
        <v>0.2</v>
      </c>
      <c r="D8" s="18">
        <v>3</v>
      </c>
      <c r="E8" s="18">
        <f t="shared" si="0"/>
        <v>4.0000000000000001E-3</v>
      </c>
      <c r="F8" s="18">
        <f t="shared" si="1"/>
        <v>0.06</v>
      </c>
      <c r="G8" s="18"/>
      <c r="H8" s="18"/>
      <c r="I8" s="18"/>
    </row>
    <row r="9" spans="1:9" ht="23.25" x14ac:dyDescent="0.35">
      <c r="A9" s="18" t="s">
        <v>13</v>
      </c>
      <c r="B9" s="18"/>
      <c r="C9" s="18"/>
      <c r="D9" s="18"/>
      <c r="E9" s="18"/>
      <c r="F9" s="18"/>
      <c r="G9" s="18"/>
      <c r="H9" s="18"/>
      <c r="I9" s="18"/>
    </row>
    <row r="10" spans="1:9" ht="23.25" x14ac:dyDescent="0.35">
      <c r="A10" s="18" t="s">
        <v>14</v>
      </c>
      <c r="B10" s="18">
        <v>10</v>
      </c>
      <c r="C10" s="18">
        <v>0.1</v>
      </c>
      <c r="D10" s="18">
        <v>1</v>
      </c>
      <c r="E10" s="18">
        <f t="shared" ref="E10:E15" si="2">B10*C10/250</f>
        <v>4.0000000000000001E-3</v>
      </c>
      <c r="F10" s="18">
        <f t="shared" ref="F10:F15" si="3">B10*D10/250</f>
        <v>0.04</v>
      </c>
      <c r="G10" s="18">
        <f>3*B10/250</f>
        <v>0.12</v>
      </c>
      <c r="H10" s="18"/>
      <c r="I10" s="18"/>
    </row>
    <row r="11" spans="1:9" ht="23.25" x14ac:dyDescent="0.35">
      <c r="A11" s="18" t="s">
        <v>15</v>
      </c>
      <c r="B11" s="18">
        <v>4</v>
      </c>
      <c r="C11" s="18">
        <v>0.3</v>
      </c>
      <c r="D11" s="18">
        <v>3</v>
      </c>
      <c r="E11" s="18">
        <f t="shared" si="2"/>
        <v>4.7999999999999996E-3</v>
      </c>
      <c r="F11" s="18">
        <f t="shared" si="3"/>
        <v>4.8000000000000001E-2</v>
      </c>
      <c r="G11" s="18"/>
      <c r="H11" s="18">
        <f>2*1/250</f>
        <v>8.0000000000000002E-3</v>
      </c>
      <c r="I11" s="18"/>
    </row>
    <row r="12" spans="1:9" ht="23.25" x14ac:dyDescent="0.35">
      <c r="A12" s="18" t="s">
        <v>16</v>
      </c>
      <c r="B12" s="18">
        <v>10</v>
      </c>
      <c r="C12" s="18">
        <v>0.3</v>
      </c>
      <c r="D12" s="18">
        <v>3</v>
      </c>
      <c r="E12" s="18">
        <f t="shared" si="2"/>
        <v>1.2E-2</v>
      </c>
      <c r="F12" s="18">
        <f t="shared" si="3"/>
        <v>0.12</v>
      </c>
      <c r="G12" s="18"/>
      <c r="H12" s="18">
        <f>2*2/250</f>
        <v>1.6E-2</v>
      </c>
      <c r="I12" s="18"/>
    </row>
    <row r="13" spans="1:9" ht="23.25" x14ac:dyDescent="0.35">
      <c r="A13" s="18" t="s">
        <v>17</v>
      </c>
      <c r="B13" s="18">
        <v>10</v>
      </c>
      <c r="C13" s="18">
        <v>0.2</v>
      </c>
      <c r="D13" s="18">
        <v>3</v>
      </c>
      <c r="E13" s="18">
        <f t="shared" si="2"/>
        <v>8.0000000000000002E-3</v>
      </c>
      <c r="F13" s="18">
        <f t="shared" si="3"/>
        <v>0.12</v>
      </c>
      <c r="G13" s="18"/>
      <c r="H13" s="18"/>
      <c r="I13" s="18"/>
    </row>
    <row r="14" spans="1:9" ht="23.25" x14ac:dyDescent="0.35">
      <c r="A14" s="18" t="s">
        <v>22</v>
      </c>
      <c r="B14" s="18">
        <v>5</v>
      </c>
      <c r="C14" s="18">
        <v>0.1</v>
      </c>
      <c r="D14" s="18">
        <v>3</v>
      </c>
      <c r="E14" s="18">
        <f t="shared" si="2"/>
        <v>2E-3</v>
      </c>
      <c r="F14" s="18">
        <f t="shared" si="3"/>
        <v>0.06</v>
      </c>
      <c r="G14" s="18"/>
      <c r="H14" s="18"/>
      <c r="I14" s="18"/>
    </row>
    <row r="15" spans="1:9" ht="23.25" x14ac:dyDescent="0.35">
      <c r="A15" s="18" t="s">
        <v>18</v>
      </c>
      <c r="B15" s="18">
        <v>2</v>
      </c>
      <c r="C15" s="18">
        <v>0.2</v>
      </c>
      <c r="D15" s="18">
        <v>1</v>
      </c>
      <c r="E15" s="18">
        <f t="shared" si="2"/>
        <v>1.6000000000000001E-3</v>
      </c>
      <c r="F15" s="18">
        <f t="shared" si="3"/>
        <v>8.0000000000000002E-3</v>
      </c>
      <c r="G15" s="18"/>
      <c r="H15" s="18">
        <f>2/250</f>
        <v>8.0000000000000002E-3</v>
      </c>
      <c r="I15" s="18"/>
    </row>
    <row r="16" spans="1:9" ht="23.25" x14ac:dyDescent="0.35">
      <c r="A16" s="18" t="s">
        <v>19</v>
      </c>
      <c r="B16" s="18">
        <v>2</v>
      </c>
      <c r="C16" s="18">
        <v>0.3</v>
      </c>
      <c r="D16" s="18">
        <v>2</v>
      </c>
      <c r="E16" s="18">
        <f t="shared" ref="E16:E25" si="4">B16*C16/250</f>
        <v>2.3999999999999998E-3</v>
      </c>
      <c r="F16" s="18">
        <f t="shared" ref="F16:F25" si="5">B16*D16/250</f>
        <v>1.6E-2</v>
      </c>
      <c r="G16" s="18"/>
      <c r="H16" s="18"/>
      <c r="I16" s="18"/>
    </row>
    <row r="17" spans="1:9" ht="23.25" x14ac:dyDescent="0.35">
      <c r="A17" s="18" t="s">
        <v>20</v>
      </c>
      <c r="B17" s="18">
        <v>20</v>
      </c>
      <c r="C17" s="18">
        <v>0.2</v>
      </c>
      <c r="D17" s="18">
        <v>4</v>
      </c>
      <c r="E17" s="18">
        <f t="shared" si="4"/>
        <v>1.6E-2</v>
      </c>
      <c r="F17" s="18">
        <f t="shared" si="5"/>
        <v>0.32</v>
      </c>
      <c r="G17" s="18"/>
      <c r="H17" s="18"/>
      <c r="I17" s="18"/>
    </row>
    <row r="18" spans="1:9" ht="23.25" x14ac:dyDescent="0.35">
      <c r="A18" s="18" t="s">
        <v>23</v>
      </c>
      <c r="B18" s="18">
        <v>5</v>
      </c>
      <c r="C18" s="18">
        <v>0.2</v>
      </c>
      <c r="D18" s="18">
        <v>2</v>
      </c>
      <c r="E18" s="18">
        <f t="shared" si="4"/>
        <v>4.0000000000000001E-3</v>
      </c>
      <c r="F18" s="18">
        <f t="shared" si="5"/>
        <v>0.04</v>
      </c>
      <c r="G18" s="18"/>
      <c r="H18" s="18"/>
      <c r="I18" s="18"/>
    </row>
    <row r="19" spans="1:9" ht="23.25" x14ac:dyDescent="0.35">
      <c r="A19" s="18" t="s">
        <v>21</v>
      </c>
      <c r="B19" s="18">
        <v>2</v>
      </c>
      <c r="C19" s="18">
        <v>0.2</v>
      </c>
      <c r="D19" s="18">
        <v>1</v>
      </c>
      <c r="E19" s="18">
        <f t="shared" si="4"/>
        <v>1.6000000000000001E-3</v>
      </c>
      <c r="F19" s="18">
        <f t="shared" si="5"/>
        <v>8.0000000000000002E-3</v>
      </c>
      <c r="G19" s="18"/>
      <c r="H19" s="18">
        <f>2/250</f>
        <v>8.0000000000000002E-3</v>
      </c>
      <c r="I19" s="18"/>
    </row>
    <row r="20" spans="1:9" ht="23.25" x14ac:dyDescent="0.35">
      <c r="A20" s="18" t="s">
        <v>29</v>
      </c>
      <c r="B20" s="18">
        <v>20</v>
      </c>
      <c r="C20" s="18">
        <v>0.2</v>
      </c>
      <c r="D20" s="18">
        <v>4</v>
      </c>
      <c r="E20" s="18">
        <f t="shared" si="4"/>
        <v>1.6E-2</v>
      </c>
      <c r="F20" s="18">
        <f t="shared" si="5"/>
        <v>0.32</v>
      </c>
      <c r="G20" s="18"/>
      <c r="H20" s="18"/>
      <c r="I20" s="18"/>
    </row>
    <row r="21" spans="1:9" ht="23.25" x14ac:dyDescent="0.35">
      <c r="A21" s="18" t="s">
        <v>26</v>
      </c>
      <c r="B21" s="18">
        <v>10</v>
      </c>
      <c r="C21" s="18">
        <v>0.4</v>
      </c>
      <c r="D21" s="18">
        <v>3</v>
      </c>
      <c r="E21" s="18">
        <f t="shared" si="4"/>
        <v>1.6E-2</v>
      </c>
      <c r="F21" s="18">
        <f t="shared" si="5"/>
        <v>0.12</v>
      </c>
      <c r="G21" s="18"/>
      <c r="H21" s="18"/>
      <c r="I21" s="18"/>
    </row>
    <row r="22" spans="1:9" ht="23.25" x14ac:dyDescent="0.35">
      <c r="A22" s="18" t="s">
        <v>27</v>
      </c>
      <c r="B22" s="18">
        <v>4</v>
      </c>
      <c r="C22" s="18">
        <v>0.2</v>
      </c>
      <c r="D22" s="18">
        <v>3</v>
      </c>
      <c r="E22" s="18">
        <f t="shared" si="4"/>
        <v>3.2000000000000002E-3</v>
      </c>
      <c r="F22" s="18">
        <f t="shared" si="5"/>
        <v>4.8000000000000001E-2</v>
      </c>
      <c r="G22" s="18"/>
      <c r="H22" s="18">
        <f>2/250</f>
        <v>8.0000000000000002E-3</v>
      </c>
      <c r="I22" s="18"/>
    </row>
    <row r="23" spans="1:9" ht="23.25" x14ac:dyDescent="0.35">
      <c r="A23" s="18" t="s">
        <v>28</v>
      </c>
      <c r="B23" s="18">
        <v>5</v>
      </c>
      <c r="C23" s="18">
        <v>0.2</v>
      </c>
      <c r="D23" s="18">
        <v>3</v>
      </c>
      <c r="E23" s="18">
        <f t="shared" si="4"/>
        <v>4.0000000000000001E-3</v>
      </c>
      <c r="F23" s="18">
        <f t="shared" si="5"/>
        <v>0.06</v>
      </c>
      <c r="G23" s="18"/>
      <c r="H23" s="18"/>
      <c r="I23" s="18"/>
    </row>
    <row r="24" spans="1:9" ht="23.25" x14ac:dyDescent="0.35">
      <c r="A24" s="18" t="s">
        <v>93</v>
      </c>
      <c r="B24" s="18">
        <v>3</v>
      </c>
      <c r="C24" s="18">
        <v>0.1</v>
      </c>
      <c r="D24" s="18">
        <v>3</v>
      </c>
      <c r="E24" s="18">
        <f t="shared" si="4"/>
        <v>1.2000000000000001E-3</v>
      </c>
      <c r="F24" s="18">
        <f t="shared" si="5"/>
        <v>3.5999999999999997E-2</v>
      </c>
      <c r="G24" s="18"/>
      <c r="H24" s="18">
        <f>2/250</f>
        <v>8.0000000000000002E-3</v>
      </c>
      <c r="I24" s="18"/>
    </row>
    <row r="25" spans="1:9" ht="23.25" x14ac:dyDescent="0.35">
      <c r="A25" s="18" t="s">
        <v>34</v>
      </c>
      <c r="B25" s="18">
        <v>2</v>
      </c>
      <c r="C25" s="18">
        <v>0.1</v>
      </c>
      <c r="D25" s="18">
        <v>1</v>
      </c>
      <c r="E25" s="18">
        <f t="shared" si="4"/>
        <v>8.0000000000000004E-4</v>
      </c>
      <c r="F25" s="18">
        <f t="shared" si="5"/>
        <v>8.0000000000000002E-3</v>
      </c>
      <c r="G25" s="18"/>
      <c r="H25" s="18">
        <f>2/250</f>
        <v>8.0000000000000002E-3</v>
      </c>
      <c r="I25" s="18"/>
    </row>
    <row r="26" spans="1:9" ht="23.25" x14ac:dyDescent="0.35">
      <c r="A26" s="18"/>
      <c r="B26" s="18"/>
      <c r="C26" s="18"/>
      <c r="D26" s="18"/>
      <c r="E26" s="18"/>
      <c r="F26" s="18"/>
      <c r="G26" s="18"/>
      <c r="H26" s="18"/>
      <c r="I26" s="18"/>
    </row>
    <row r="27" spans="1:9" ht="23.25" x14ac:dyDescent="0.35">
      <c r="A27" s="18" t="s">
        <v>31</v>
      </c>
      <c r="B27" s="18">
        <f>SUM(B5:B25)</f>
        <v>130</v>
      </c>
      <c r="C27" s="18"/>
      <c r="D27" s="18"/>
      <c r="E27" s="18">
        <f>SUM(E5:E25)</f>
        <v>0.106</v>
      </c>
      <c r="F27" s="18">
        <f>SUM(F5:F25)</f>
        <v>1.5520000000000005</v>
      </c>
      <c r="G27" s="18">
        <f>SUM(G5:G25)</f>
        <v>0.12</v>
      </c>
      <c r="H27" s="18">
        <f>SUM(H5:H25)</f>
        <v>6.4000000000000001E-2</v>
      </c>
      <c r="I27" s="18"/>
    </row>
    <row r="28" spans="1:9" ht="23.25" x14ac:dyDescent="0.35">
      <c r="A28" s="18" t="s">
        <v>30</v>
      </c>
      <c r="B28" s="18">
        <f>B27/20</f>
        <v>6.5</v>
      </c>
      <c r="C28" s="18"/>
      <c r="D28" s="18"/>
      <c r="E28" s="18"/>
      <c r="F28" s="18"/>
      <c r="G28" s="18"/>
      <c r="H28" s="18"/>
      <c r="I28" s="18"/>
    </row>
    <row r="29" spans="1:9" ht="23.25" x14ac:dyDescent="0.35">
      <c r="A29" s="18" t="s">
        <v>32</v>
      </c>
      <c r="B29" s="19">
        <f>F27*12/B28</f>
        <v>2.8652307692307701</v>
      </c>
      <c r="C29" s="18"/>
      <c r="D29" s="18"/>
      <c r="E29" s="18"/>
      <c r="F29" s="18"/>
      <c r="G29" s="18"/>
      <c r="H29" s="18"/>
      <c r="I29" s="18"/>
    </row>
    <row r="30" spans="1:9" ht="23.25" x14ac:dyDescent="0.35">
      <c r="A30" s="18" t="s">
        <v>33</v>
      </c>
      <c r="B30" s="19">
        <f>E27*12/B28</f>
        <v>0.19569230769230769</v>
      </c>
      <c r="C30" s="18"/>
      <c r="D30" s="18"/>
      <c r="E30" s="18"/>
      <c r="F30" s="18"/>
      <c r="G30" s="18"/>
      <c r="H30" s="18"/>
      <c r="I30" s="18"/>
    </row>
    <row r="31" spans="1:9" ht="23.25" x14ac:dyDescent="0.35">
      <c r="A31" s="18"/>
      <c r="B31" s="18"/>
      <c r="C31" s="18"/>
      <c r="D31" s="18"/>
      <c r="E31" s="18"/>
      <c r="F31" s="18"/>
      <c r="G31" s="18"/>
      <c r="H31" s="18"/>
      <c r="I31" s="18"/>
    </row>
    <row r="32" spans="1:9" ht="23.25" x14ac:dyDescent="0.35">
      <c r="A32" s="18" t="s">
        <v>85</v>
      </c>
      <c r="B32" s="19">
        <f>B29*1.2</f>
        <v>3.4382769230769239</v>
      </c>
      <c r="C32" s="18"/>
      <c r="D32" s="18"/>
      <c r="E32" s="18"/>
      <c r="F32" s="18"/>
      <c r="G32" s="18"/>
      <c r="H32" s="18"/>
      <c r="I32" s="18"/>
    </row>
    <row r="33" spans="1:9" ht="23.25" x14ac:dyDescent="0.35">
      <c r="A33" s="18"/>
      <c r="B33" s="18"/>
      <c r="C33" s="18"/>
      <c r="D33" s="18"/>
      <c r="E33" s="18"/>
      <c r="F33" s="18"/>
      <c r="G33" s="18"/>
      <c r="H33" s="18"/>
      <c r="I33" s="1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20"/>
  <sheetViews>
    <sheetView workbookViewId="0">
      <selection activeCell="G11" sqref="G11"/>
    </sheetView>
  </sheetViews>
  <sheetFormatPr defaultRowHeight="15" x14ac:dyDescent="0.25"/>
  <cols>
    <col min="1" max="1" width="66.85546875" customWidth="1"/>
    <col min="2" max="2" width="18.5703125" customWidth="1"/>
    <col min="3" max="3" width="15.85546875" customWidth="1"/>
    <col min="4" max="4" width="16.140625" customWidth="1"/>
    <col min="5" max="5" width="16.42578125" customWidth="1"/>
    <col min="6" max="6" width="21.85546875" customWidth="1"/>
    <col min="7" max="7" width="41.140625" customWidth="1"/>
    <col min="10" max="10" width="12.140625" customWidth="1"/>
  </cols>
  <sheetData>
    <row r="1" spans="1:11" ht="32.25" thickBot="1" x14ac:dyDescent="0.55000000000000004">
      <c r="A1" s="1" t="s">
        <v>58</v>
      </c>
      <c r="B1" s="1"/>
      <c r="C1" s="1"/>
      <c r="D1" s="1"/>
      <c r="E1" s="1"/>
      <c r="F1" s="1"/>
      <c r="G1" s="1"/>
      <c r="H1" s="1"/>
      <c r="I1" s="1"/>
      <c r="J1" s="2"/>
      <c r="K1" s="1"/>
    </row>
    <row r="2" spans="1:11" ht="31.5" x14ac:dyDescent="0.5">
      <c r="A2" s="9" t="s">
        <v>59</v>
      </c>
      <c r="B2" s="10" t="s">
        <v>60</v>
      </c>
      <c r="C2" s="10" t="s">
        <v>61</v>
      </c>
      <c r="D2" s="10" t="s">
        <v>62</v>
      </c>
      <c r="E2" s="10" t="s">
        <v>63</v>
      </c>
      <c r="F2" s="11" t="s">
        <v>64</v>
      </c>
      <c r="G2" s="1"/>
      <c r="H2" s="1"/>
      <c r="I2" s="1"/>
      <c r="J2" s="2" t="s">
        <v>65</v>
      </c>
      <c r="K2" s="1"/>
    </row>
    <row r="3" spans="1:11" ht="31.5" x14ac:dyDescent="0.5">
      <c r="A3" s="3" t="s">
        <v>66</v>
      </c>
      <c r="B3" s="4">
        <v>4</v>
      </c>
      <c r="C3" s="4">
        <v>250</v>
      </c>
      <c r="D3" s="4">
        <v>2900</v>
      </c>
      <c r="E3" s="5">
        <v>0</v>
      </c>
      <c r="F3" s="6">
        <f>D3*B3+E3</f>
        <v>11600</v>
      </c>
      <c r="G3" s="1" t="s">
        <v>67</v>
      </c>
      <c r="H3" s="1"/>
      <c r="I3" s="1"/>
      <c r="J3" s="2">
        <f>F3/C3</f>
        <v>46.4</v>
      </c>
      <c r="K3" s="1" t="s">
        <v>68</v>
      </c>
    </row>
    <row r="4" spans="1:11" ht="31.5" x14ac:dyDescent="0.5">
      <c r="A4" s="3" t="s">
        <v>69</v>
      </c>
      <c r="B4" s="4">
        <f>C4/25</f>
        <v>406.12</v>
      </c>
      <c r="C4" s="4">
        <v>10153</v>
      </c>
      <c r="D4" s="5">
        <f>56*25</f>
        <v>1400</v>
      </c>
      <c r="E4" s="4"/>
      <c r="F4" s="6">
        <f t="shared" ref="F4:F15" si="0">D4*B4+E4</f>
        <v>568568</v>
      </c>
      <c r="G4" s="1" t="s">
        <v>70</v>
      </c>
      <c r="H4" s="1"/>
      <c r="I4" s="1"/>
      <c r="J4" s="2">
        <f t="shared" ref="J4:J6" si="1">F4/C4</f>
        <v>56</v>
      </c>
      <c r="K4" s="1" t="s">
        <v>71</v>
      </c>
    </row>
    <row r="5" spans="1:11" ht="31.5" x14ac:dyDescent="0.5">
      <c r="A5" s="3" t="s">
        <v>72</v>
      </c>
      <c r="B5" s="4">
        <f>C5/26</f>
        <v>4408.1153846153848</v>
      </c>
      <c r="C5" s="4">
        <v>114611</v>
      </c>
      <c r="D5" s="4">
        <v>52</v>
      </c>
      <c r="E5" s="4">
        <v>2000</v>
      </c>
      <c r="F5" s="6">
        <f t="shared" si="0"/>
        <v>231222</v>
      </c>
      <c r="G5" s="1" t="s">
        <v>73</v>
      </c>
      <c r="H5" s="1"/>
      <c r="I5" s="1"/>
      <c r="J5" s="2">
        <f t="shared" si="1"/>
        <v>2.0174503319925661</v>
      </c>
      <c r="K5" s="1" t="s">
        <v>74</v>
      </c>
    </row>
    <row r="6" spans="1:11" ht="31.5" x14ac:dyDescent="0.5">
      <c r="A6" s="3" t="s">
        <v>75</v>
      </c>
      <c r="B6" s="4">
        <f>C6/160</f>
        <v>6.7937500000000002</v>
      </c>
      <c r="C6" s="4">
        <v>1087</v>
      </c>
      <c r="D6" s="4">
        <v>800</v>
      </c>
      <c r="E6" s="4">
        <f>B6*400</f>
        <v>2717.5</v>
      </c>
      <c r="F6" s="6">
        <f t="shared" si="0"/>
        <v>8152.5</v>
      </c>
      <c r="G6" s="1" t="s">
        <v>76</v>
      </c>
      <c r="H6" s="1"/>
      <c r="I6" s="1"/>
      <c r="J6" s="2">
        <f t="shared" si="1"/>
        <v>7.5</v>
      </c>
      <c r="K6" s="1" t="s">
        <v>74</v>
      </c>
    </row>
    <row r="7" spans="1:11" ht="31.5" x14ac:dyDescent="0.5">
      <c r="A7" s="3" t="s">
        <v>95</v>
      </c>
      <c r="B7" s="4">
        <v>3</v>
      </c>
      <c r="C7" s="4"/>
      <c r="D7" s="4">
        <v>2800</v>
      </c>
      <c r="E7" s="4"/>
      <c r="F7" s="6">
        <f t="shared" si="0"/>
        <v>8400</v>
      </c>
      <c r="G7" s="1"/>
      <c r="H7" s="1"/>
      <c r="I7" s="1"/>
      <c r="J7" s="2"/>
      <c r="K7" s="1"/>
    </row>
    <row r="8" spans="1:11" ht="31.5" x14ac:dyDescent="0.5">
      <c r="A8" s="12" t="s">
        <v>77</v>
      </c>
      <c r="B8" s="20">
        <v>1</v>
      </c>
      <c r="C8" s="13"/>
      <c r="D8" s="14">
        <v>30000</v>
      </c>
      <c r="E8" s="13"/>
      <c r="F8" s="6">
        <f t="shared" si="0"/>
        <v>30000</v>
      </c>
    </row>
    <row r="9" spans="1:11" ht="31.5" x14ac:dyDescent="0.5">
      <c r="A9" s="12" t="s">
        <v>78</v>
      </c>
      <c r="B9" s="20">
        <v>1</v>
      </c>
      <c r="C9" s="13"/>
      <c r="D9" s="14">
        <v>4000</v>
      </c>
      <c r="E9" s="13"/>
      <c r="F9" s="6">
        <f t="shared" si="0"/>
        <v>4000</v>
      </c>
    </row>
    <row r="10" spans="1:11" ht="31.5" x14ac:dyDescent="0.5">
      <c r="A10" s="12" t="s">
        <v>79</v>
      </c>
      <c r="B10" s="20">
        <v>1</v>
      </c>
      <c r="C10" s="13"/>
      <c r="D10" s="14">
        <v>5000</v>
      </c>
      <c r="E10" s="13"/>
      <c r="F10" s="6">
        <f t="shared" si="0"/>
        <v>5000</v>
      </c>
    </row>
    <row r="11" spans="1:11" ht="31.5" x14ac:dyDescent="0.5">
      <c r="A11" s="12" t="s">
        <v>86</v>
      </c>
      <c r="B11" s="20">
        <v>1</v>
      </c>
      <c r="C11" s="13"/>
      <c r="D11" s="14">
        <v>10000</v>
      </c>
      <c r="E11" s="13"/>
      <c r="F11" s="6">
        <f t="shared" si="0"/>
        <v>10000</v>
      </c>
    </row>
    <row r="12" spans="1:11" ht="31.5" x14ac:dyDescent="0.5">
      <c r="A12" s="12" t="s">
        <v>87</v>
      </c>
      <c r="B12" s="20">
        <v>1</v>
      </c>
      <c r="C12" s="13"/>
      <c r="D12" s="14">
        <v>15000</v>
      </c>
      <c r="E12" s="13"/>
      <c r="F12" s="6">
        <f t="shared" si="0"/>
        <v>15000</v>
      </c>
    </row>
    <row r="13" spans="1:11" ht="31.5" x14ac:dyDescent="0.5">
      <c r="A13" s="12" t="s">
        <v>80</v>
      </c>
      <c r="B13" s="20">
        <v>2</v>
      </c>
      <c r="C13" s="13"/>
      <c r="D13" s="14">
        <v>88000</v>
      </c>
      <c r="E13" s="13"/>
      <c r="F13" s="6">
        <f t="shared" si="0"/>
        <v>176000</v>
      </c>
      <c r="G13" t="s">
        <v>83</v>
      </c>
    </row>
    <row r="14" spans="1:11" ht="31.5" x14ac:dyDescent="0.5">
      <c r="A14" s="12" t="s">
        <v>81</v>
      </c>
      <c r="B14" s="20">
        <v>1</v>
      </c>
      <c r="C14" s="13"/>
      <c r="D14" s="14">
        <v>100000</v>
      </c>
      <c r="E14" s="13"/>
      <c r="F14" s="6">
        <f t="shared" si="0"/>
        <v>100000</v>
      </c>
    </row>
    <row r="15" spans="1:11" ht="31.5" x14ac:dyDescent="0.5">
      <c r="A15" s="12" t="s">
        <v>88</v>
      </c>
      <c r="B15" s="20">
        <v>1</v>
      </c>
      <c r="C15" s="13"/>
      <c r="D15" s="14">
        <v>15000</v>
      </c>
      <c r="E15" s="13"/>
      <c r="F15" s="6">
        <f t="shared" si="0"/>
        <v>15000</v>
      </c>
    </row>
    <row r="16" spans="1:11" ht="31.5" x14ac:dyDescent="0.5">
      <c r="A16" s="12" t="s">
        <v>84</v>
      </c>
      <c r="B16" s="20">
        <v>1</v>
      </c>
      <c r="C16" s="13"/>
      <c r="D16" s="14">
        <v>20000</v>
      </c>
      <c r="E16" s="13"/>
      <c r="F16" s="6">
        <f t="shared" ref="F16:F19" si="2">D16*B16+E16</f>
        <v>20000</v>
      </c>
    </row>
    <row r="17" spans="1:6" ht="31.5" x14ac:dyDescent="0.5">
      <c r="A17" s="12" t="s">
        <v>91</v>
      </c>
      <c r="B17" s="21">
        <v>20</v>
      </c>
      <c r="C17" s="13"/>
      <c r="D17" s="14">
        <v>200</v>
      </c>
      <c r="E17" s="13"/>
      <c r="F17" s="22">
        <f t="shared" si="2"/>
        <v>4000</v>
      </c>
    </row>
    <row r="18" spans="1:6" ht="31.5" x14ac:dyDescent="0.5">
      <c r="A18" s="25" t="s">
        <v>92</v>
      </c>
      <c r="B18" s="26">
        <v>1</v>
      </c>
      <c r="C18" s="27"/>
      <c r="D18" s="28">
        <v>20000</v>
      </c>
      <c r="E18" s="27"/>
      <c r="F18" s="29">
        <f t="shared" si="2"/>
        <v>20000</v>
      </c>
    </row>
    <row r="19" spans="1:6" ht="32.25" thickBot="1" x14ac:dyDescent="0.55000000000000004">
      <c r="A19" s="15" t="s">
        <v>90</v>
      </c>
      <c r="B19" s="23">
        <v>5</v>
      </c>
      <c r="C19" s="16"/>
      <c r="D19" s="17">
        <v>1500</v>
      </c>
      <c r="E19" s="16"/>
      <c r="F19" s="24">
        <f t="shared" si="2"/>
        <v>7500</v>
      </c>
    </row>
    <row r="20" spans="1:6" ht="31.5" x14ac:dyDescent="0.5">
      <c r="A20" s="7" t="s">
        <v>82</v>
      </c>
      <c r="F20" s="8">
        <f>SUM(F3:F19)</f>
        <v>1234442.5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33"/>
  <sheetViews>
    <sheetView topLeftCell="A10" workbookViewId="0">
      <selection activeCell="H15" sqref="H15"/>
    </sheetView>
  </sheetViews>
  <sheetFormatPr defaultRowHeight="15" x14ac:dyDescent="0.25"/>
  <cols>
    <col min="1" max="1" width="57.5703125" customWidth="1"/>
    <col min="7" max="7" width="12.7109375" customWidth="1"/>
  </cols>
  <sheetData>
    <row r="1" spans="1:8" ht="23.25" x14ac:dyDescent="0.35">
      <c r="A1" s="18" t="s">
        <v>35</v>
      </c>
      <c r="B1" s="18"/>
      <c r="C1" s="18"/>
      <c r="D1" s="18"/>
      <c r="E1" s="18"/>
      <c r="F1" s="18"/>
      <c r="G1" s="18"/>
      <c r="H1" s="18"/>
    </row>
    <row r="2" spans="1:8" ht="23.25" x14ac:dyDescent="0.35">
      <c r="A2" s="18"/>
      <c r="B2" s="18" t="s">
        <v>7</v>
      </c>
      <c r="C2" s="18" t="s">
        <v>6</v>
      </c>
      <c r="D2" s="18" t="s">
        <v>6</v>
      </c>
      <c r="E2" s="18" t="s">
        <v>5</v>
      </c>
      <c r="F2" s="18" t="s">
        <v>5</v>
      </c>
      <c r="G2" s="18" t="s">
        <v>5</v>
      </c>
      <c r="H2" s="18" t="s">
        <v>5</v>
      </c>
    </row>
    <row r="3" spans="1:8" ht="23.25" x14ac:dyDescent="0.35">
      <c r="A3" s="18" t="s">
        <v>1</v>
      </c>
      <c r="B3" s="18" t="s">
        <v>2</v>
      </c>
      <c r="C3" s="18" t="s">
        <v>3</v>
      </c>
      <c r="D3" s="18" t="s">
        <v>37</v>
      </c>
      <c r="E3" s="18" t="s">
        <v>3</v>
      </c>
      <c r="F3" s="18" t="s">
        <v>37</v>
      </c>
      <c r="G3" s="18" t="s">
        <v>24</v>
      </c>
      <c r="H3" s="18" t="s">
        <v>25</v>
      </c>
    </row>
    <row r="4" spans="1:8" ht="23.25" x14ac:dyDescent="0.35">
      <c r="A4" s="18" t="s">
        <v>36</v>
      </c>
      <c r="B4" s="18"/>
      <c r="C4" s="18"/>
      <c r="D4" s="18"/>
      <c r="E4" s="18"/>
      <c r="F4" s="18"/>
      <c r="G4" s="18"/>
      <c r="H4" s="18"/>
    </row>
    <row r="5" spans="1:8" ht="23.25" x14ac:dyDescent="0.35">
      <c r="A5" s="18" t="s">
        <v>41</v>
      </c>
      <c r="B5" s="18">
        <v>10</v>
      </c>
      <c r="C5" s="18">
        <v>0.1</v>
      </c>
      <c r="D5" s="18">
        <v>1</v>
      </c>
      <c r="E5" s="18">
        <f>B5*C5/250</f>
        <v>4.0000000000000001E-3</v>
      </c>
      <c r="F5" s="18">
        <f>B5*D5/250</f>
        <v>0.04</v>
      </c>
      <c r="G5" s="18"/>
      <c r="H5" s="18"/>
    </row>
    <row r="6" spans="1:8" ht="23.25" x14ac:dyDescent="0.35">
      <c r="A6" s="18" t="s">
        <v>38</v>
      </c>
      <c r="B6" s="18">
        <v>2</v>
      </c>
      <c r="C6" s="18">
        <v>0.1</v>
      </c>
      <c r="D6" s="18">
        <v>1</v>
      </c>
      <c r="E6" s="18">
        <f t="shared" ref="E6:E9" si="0">B6*C6/250</f>
        <v>8.0000000000000004E-4</v>
      </c>
      <c r="F6" s="18">
        <f t="shared" ref="F6:F9" si="1">B6*D6/250</f>
        <v>8.0000000000000002E-3</v>
      </c>
      <c r="G6" s="18"/>
      <c r="H6" s="18"/>
    </row>
    <row r="7" spans="1:8" ht="23.25" x14ac:dyDescent="0.35">
      <c r="A7" s="18" t="s">
        <v>39</v>
      </c>
      <c r="B7" s="18">
        <v>2</v>
      </c>
      <c r="C7" s="18">
        <v>0.1</v>
      </c>
      <c r="D7" s="18">
        <v>1</v>
      </c>
      <c r="E7" s="18">
        <f t="shared" si="0"/>
        <v>8.0000000000000004E-4</v>
      </c>
      <c r="F7" s="18">
        <f t="shared" si="1"/>
        <v>8.0000000000000002E-3</v>
      </c>
      <c r="G7" s="18"/>
      <c r="H7" s="18"/>
    </row>
    <row r="8" spans="1:8" ht="23.25" x14ac:dyDescent="0.35">
      <c r="A8" s="18" t="s">
        <v>42</v>
      </c>
      <c r="B8" s="18">
        <v>25</v>
      </c>
      <c r="C8" s="18">
        <v>0.2</v>
      </c>
      <c r="D8" s="18">
        <v>1</v>
      </c>
      <c r="E8" s="18">
        <f t="shared" si="0"/>
        <v>0.02</v>
      </c>
      <c r="F8" s="18">
        <f t="shared" si="1"/>
        <v>0.1</v>
      </c>
      <c r="G8" s="18"/>
      <c r="H8" s="18"/>
    </row>
    <row r="9" spans="1:8" ht="23.25" x14ac:dyDescent="0.35">
      <c r="A9" s="18" t="s">
        <v>43</v>
      </c>
      <c r="B9" s="18">
        <v>200</v>
      </c>
      <c r="C9" s="18">
        <v>0.05</v>
      </c>
      <c r="D9" s="18">
        <v>0.05</v>
      </c>
      <c r="E9" s="18">
        <f t="shared" si="0"/>
        <v>0.04</v>
      </c>
      <c r="F9" s="18">
        <f t="shared" si="1"/>
        <v>0.04</v>
      </c>
      <c r="G9" s="18"/>
      <c r="H9" s="18"/>
    </row>
    <row r="10" spans="1:8" ht="23.25" x14ac:dyDescent="0.35">
      <c r="A10" s="18" t="s">
        <v>44</v>
      </c>
      <c r="B10" s="18"/>
      <c r="C10" s="18"/>
      <c r="D10" s="18"/>
      <c r="E10" s="18"/>
      <c r="F10" s="18"/>
      <c r="G10" s="18"/>
      <c r="H10" s="18"/>
    </row>
    <row r="11" spans="1:8" ht="23.25" x14ac:dyDescent="0.35">
      <c r="A11" s="18" t="s">
        <v>45</v>
      </c>
      <c r="B11" s="18">
        <v>30</v>
      </c>
      <c r="C11" s="18">
        <v>0.2</v>
      </c>
      <c r="D11" s="18">
        <v>1</v>
      </c>
      <c r="E11" s="18">
        <f t="shared" ref="E11:E25" si="2">B11*C11/250</f>
        <v>2.4E-2</v>
      </c>
      <c r="F11" s="18">
        <f t="shared" ref="F11:F25" si="3">B11*D11/250</f>
        <v>0.12</v>
      </c>
      <c r="G11" s="18">
        <f>B11/250</f>
        <v>0.12</v>
      </c>
      <c r="H11" s="18"/>
    </row>
    <row r="12" spans="1:8" ht="23.25" x14ac:dyDescent="0.35">
      <c r="A12" s="18" t="s">
        <v>46</v>
      </c>
      <c r="B12" s="18">
        <v>15</v>
      </c>
      <c r="C12" s="18">
        <v>0.3</v>
      </c>
      <c r="D12" s="18">
        <v>1</v>
      </c>
      <c r="E12" s="18">
        <f t="shared" si="2"/>
        <v>1.7999999999999999E-2</v>
      </c>
      <c r="F12" s="18">
        <f t="shared" si="3"/>
        <v>0.06</v>
      </c>
      <c r="G12" s="18"/>
      <c r="H12" s="18" t="s">
        <v>40</v>
      </c>
    </row>
    <row r="13" spans="1:8" ht="23.25" x14ac:dyDescent="0.35">
      <c r="A13" s="18" t="s">
        <v>47</v>
      </c>
      <c r="B13" s="18">
        <v>25</v>
      </c>
      <c r="C13" s="18">
        <v>0.4</v>
      </c>
      <c r="D13" s="18">
        <v>1</v>
      </c>
      <c r="E13" s="18">
        <f t="shared" si="2"/>
        <v>0.04</v>
      </c>
      <c r="F13" s="18">
        <f t="shared" si="3"/>
        <v>0.1</v>
      </c>
      <c r="G13" s="18"/>
      <c r="H13" s="18" t="s">
        <v>40</v>
      </c>
    </row>
    <row r="14" spans="1:8" ht="23.25" x14ac:dyDescent="0.35">
      <c r="A14" s="18" t="s">
        <v>94</v>
      </c>
      <c r="B14" s="18">
        <v>25</v>
      </c>
      <c r="C14" s="18">
        <v>0.1</v>
      </c>
      <c r="D14" s="18">
        <v>1</v>
      </c>
      <c r="E14" s="18">
        <f t="shared" si="2"/>
        <v>0.01</v>
      </c>
      <c r="F14" s="18">
        <f t="shared" si="3"/>
        <v>0.1</v>
      </c>
      <c r="G14" s="18"/>
      <c r="H14" s="18"/>
    </row>
    <row r="15" spans="1:8" ht="23.25" x14ac:dyDescent="0.35">
      <c r="A15" s="18" t="s">
        <v>48</v>
      </c>
      <c r="B15" s="18">
        <v>65</v>
      </c>
      <c r="C15" s="18">
        <v>0.4</v>
      </c>
      <c r="D15" s="18">
        <v>1</v>
      </c>
      <c r="E15" s="18">
        <f t="shared" si="2"/>
        <v>0.104</v>
      </c>
      <c r="F15" s="18">
        <f t="shared" si="3"/>
        <v>0.26</v>
      </c>
      <c r="G15" s="18"/>
      <c r="H15" s="18"/>
    </row>
    <row r="16" spans="1:8" ht="23.25" x14ac:dyDescent="0.35">
      <c r="A16" s="18" t="s">
        <v>49</v>
      </c>
      <c r="B16" s="18">
        <v>250</v>
      </c>
      <c r="C16" s="18">
        <v>0.1</v>
      </c>
      <c r="D16" s="18">
        <v>0.1</v>
      </c>
      <c r="E16" s="18">
        <f t="shared" si="2"/>
        <v>0.1</v>
      </c>
      <c r="F16" s="18">
        <f t="shared" si="3"/>
        <v>0.1</v>
      </c>
      <c r="G16" s="18"/>
      <c r="H16" s="18"/>
    </row>
    <row r="17" spans="1:8" ht="23.25" x14ac:dyDescent="0.35">
      <c r="A17" s="18" t="s">
        <v>50</v>
      </c>
      <c r="B17" s="18">
        <v>25</v>
      </c>
      <c r="C17" s="18">
        <v>0.1</v>
      </c>
      <c r="D17" s="18">
        <v>1</v>
      </c>
      <c r="E17" s="18">
        <f t="shared" si="2"/>
        <v>0.01</v>
      </c>
      <c r="F17" s="18">
        <f t="shared" si="3"/>
        <v>0.1</v>
      </c>
      <c r="G17" s="18"/>
      <c r="H17" s="18"/>
    </row>
    <row r="18" spans="1:8" ht="23.25" x14ac:dyDescent="0.35">
      <c r="A18" s="18" t="s">
        <v>51</v>
      </c>
      <c r="B18" s="18">
        <v>120</v>
      </c>
      <c r="C18" s="18">
        <v>0.2</v>
      </c>
      <c r="D18" s="18">
        <v>1</v>
      </c>
      <c r="E18" s="18">
        <f t="shared" si="2"/>
        <v>9.6000000000000002E-2</v>
      </c>
      <c r="F18" s="18">
        <f t="shared" si="3"/>
        <v>0.48</v>
      </c>
      <c r="G18" s="18"/>
      <c r="H18" s="18"/>
    </row>
    <row r="19" spans="1:8" ht="23.25" x14ac:dyDescent="0.35">
      <c r="A19" s="18" t="s">
        <v>23</v>
      </c>
      <c r="B19" s="18">
        <v>5</v>
      </c>
      <c r="C19" s="18">
        <v>0.2</v>
      </c>
      <c r="D19" s="18">
        <v>2</v>
      </c>
      <c r="E19" s="18">
        <f t="shared" si="2"/>
        <v>4.0000000000000001E-3</v>
      </c>
      <c r="F19" s="18">
        <f t="shared" si="3"/>
        <v>0.04</v>
      </c>
      <c r="G19" s="18"/>
      <c r="H19" s="18"/>
    </row>
    <row r="20" spans="1:8" ht="23.25" x14ac:dyDescent="0.35">
      <c r="A20" s="18" t="s">
        <v>52</v>
      </c>
      <c r="B20" s="18">
        <v>45</v>
      </c>
      <c r="C20" s="18">
        <v>0.2</v>
      </c>
      <c r="D20" s="18">
        <v>1</v>
      </c>
      <c r="E20" s="18">
        <f t="shared" si="2"/>
        <v>3.5999999999999997E-2</v>
      </c>
      <c r="F20" s="18">
        <f t="shared" si="3"/>
        <v>0.18</v>
      </c>
      <c r="G20" s="18"/>
      <c r="H20" s="18" t="s">
        <v>40</v>
      </c>
    </row>
    <row r="21" spans="1:8" ht="23.25" x14ac:dyDescent="0.35">
      <c r="A21" s="18" t="s">
        <v>53</v>
      </c>
      <c r="B21" s="18">
        <v>30</v>
      </c>
      <c r="C21" s="18">
        <v>0.4</v>
      </c>
      <c r="D21" s="18">
        <v>1</v>
      </c>
      <c r="E21" s="18">
        <f t="shared" si="2"/>
        <v>4.8000000000000001E-2</v>
      </c>
      <c r="F21" s="18">
        <f t="shared" si="3"/>
        <v>0.12</v>
      </c>
      <c r="G21" s="18"/>
      <c r="H21" s="18"/>
    </row>
    <row r="22" spans="1:8" ht="23.25" x14ac:dyDescent="0.35">
      <c r="A22" s="18" t="s">
        <v>54</v>
      </c>
      <c r="B22" s="18">
        <v>200</v>
      </c>
      <c r="C22" s="18">
        <v>0.1</v>
      </c>
      <c r="D22" s="18">
        <v>0.05</v>
      </c>
      <c r="E22" s="18">
        <f t="shared" si="2"/>
        <v>0.08</v>
      </c>
      <c r="F22" s="18">
        <f t="shared" si="3"/>
        <v>0.04</v>
      </c>
      <c r="G22" s="18"/>
      <c r="H22" s="18" t="s">
        <v>40</v>
      </c>
    </row>
    <row r="23" spans="1:8" ht="23.25" x14ac:dyDescent="0.35">
      <c r="A23" s="18" t="s">
        <v>55</v>
      </c>
      <c r="B23" s="18">
        <v>200</v>
      </c>
      <c r="C23" s="18">
        <v>0.1</v>
      </c>
      <c r="D23" s="18">
        <v>0.05</v>
      </c>
      <c r="E23" s="18">
        <f t="shared" si="2"/>
        <v>0.08</v>
      </c>
      <c r="F23" s="18">
        <f t="shared" si="3"/>
        <v>0.04</v>
      </c>
      <c r="G23" s="18"/>
      <c r="H23" s="18"/>
    </row>
    <row r="24" spans="1:8" ht="23.25" x14ac:dyDescent="0.35">
      <c r="A24" s="18" t="s">
        <v>56</v>
      </c>
      <c r="B24" s="18">
        <v>80</v>
      </c>
      <c r="C24" s="18">
        <v>0.1</v>
      </c>
      <c r="D24" s="18">
        <v>0.05</v>
      </c>
      <c r="E24" s="18">
        <f t="shared" si="2"/>
        <v>3.2000000000000001E-2</v>
      </c>
      <c r="F24" s="18">
        <f t="shared" si="3"/>
        <v>1.6E-2</v>
      </c>
      <c r="G24" s="18"/>
      <c r="H24" s="18" t="s">
        <v>40</v>
      </c>
    </row>
    <row r="25" spans="1:8" ht="23.25" x14ac:dyDescent="0.35">
      <c r="A25" s="18" t="s">
        <v>89</v>
      </c>
      <c r="B25" s="18">
        <v>40</v>
      </c>
      <c r="C25" s="18">
        <v>0.1</v>
      </c>
      <c r="D25" s="18">
        <v>1</v>
      </c>
      <c r="E25" s="18">
        <f t="shared" si="2"/>
        <v>1.6E-2</v>
      </c>
      <c r="F25" s="18">
        <f t="shared" si="3"/>
        <v>0.16</v>
      </c>
      <c r="G25" s="18"/>
      <c r="H25" s="18"/>
    </row>
    <row r="26" spans="1:8" ht="23.25" x14ac:dyDescent="0.35">
      <c r="A26" s="18"/>
      <c r="B26" s="18"/>
      <c r="C26" s="18"/>
      <c r="D26" s="18"/>
      <c r="E26" s="18"/>
      <c r="F26" s="18"/>
      <c r="G26" s="18"/>
      <c r="H26" s="18"/>
    </row>
    <row r="27" spans="1:8" ht="23.25" x14ac:dyDescent="0.35">
      <c r="A27" s="18" t="s">
        <v>31</v>
      </c>
      <c r="B27" s="18">
        <f>SUM(B5:B24)-B22-B23-B24-B16-B9</f>
        <v>424</v>
      </c>
      <c r="C27" s="18"/>
      <c r="D27" s="18"/>
      <c r="E27" s="18">
        <f>SUM(E5:E25)</f>
        <v>0.76360000000000006</v>
      </c>
      <c r="F27" s="18">
        <f>SUM(F5:F25)</f>
        <v>2.1120000000000001</v>
      </c>
      <c r="G27" s="18">
        <f>SUM(G5:G24)</f>
        <v>0.12</v>
      </c>
      <c r="H27" s="18" t="s">
        <v>40</v>
      </c>
    </row>
    <row r="28" spans="1:8" ht="23.25" x14ac:dyDescent="0.35">
      <c r="A28" s="18" t="s">
        <v>30</v>
      </c>
      <c r="B28" s="18">
        <f>(B27/20)</f>
        <v>21.2</v>
      </c>
      <c r="C28" s="18"/>
      <c r="D28" s="18"/>
      <c r="E28" s="18"/>
      <c r="F28" s="18"/>
      <c r="G28" s="18"/>
      <c r="H28" s="18"/>
    </row>
    <row r="29" spans="1:8" ht="23.25" x14ac:dyDescent="0.35">
      <c r="A29" s="18" t="s">
        <v>57</v>
      </c>
      <c r="B29" s="19">
        <f>F27*12/B28</f>
        <v>1.1954716981132076</v>
      </c>
      <c r="C29" s="18"/>
      <c r="D29" s="18"/>
      <c r="E29" s="18"/>
      <c r="F29" s="18"/>
      <c r="G29" s="18"/>
      <c r="H29" s="18"/>
    </row>
    <row r="30" spans="1:8" ht="23.25" x14ac:dyDescent="0.35">
      <c r="A30" s="18" t="s">
        <v>33</v>
      </c>
      <c r="B30" s="19">
        <f>E27*12/B28</f>
        <v>0.43222641509433962</v>
      </c>
      <c r="C30" s="18"/>
      <c r="D30" s="18"/>
      <c r="E30" s="18"/>
      <c r="F30" s="18"/>
      <c r="G30" s="18"/>
      <c r="H30" s="18"/>
    </row>
    <row r="31" spans="1:8" ht="23.25" x14ac:dyDescent="0.35">
      <c r="A31" s="18"/>
      <c r="B31" s="18"/>
      <c r="C31" s="18"/>
      <c r="D31" s="18"/>
      <c r="E31" s="18"/>
      <c r="F31" s="18"/>
      <c r="G31" s="18"/>
      <c r="H31" s="18"/>
    </row>
    <row r="32" spans="1:8" ht="23.25" x14ac:dyDescent="0.35">
      <c r="A32" s="18"/>
      <c r="B32" s="18"/>
      <c r="C32" s="18"/>
      <c r="D32" s="18"/>
      <c r="E32" s="18"/>
      <c r="F32" s="18"/>
      <c r="G32" s="18"/>
      <c r="H32" s="18"/>
    </row>
    <row r="33" spans="1:8" ht="23.25" x14ac:dyDescent="0.35">
      <c r="A33" s="18"/>
      <c r="B33" s="18"/>
      <c r="C33" s="18"/>
      <c r="D33" s="18"/>
      <c r="E33" s="18"/>
      <c r="F33" s="18"/>
      <c r="G33" s="18"/>
      <c r="H33" s="18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E25" sqref="E25"/>
    </sheetView>
  </sheetViews>
  <sheetFormatPr defaultRowHeight="15" x14ac:dyDescent="0.25"/>
  <cols>
    <col min="1" max="1" width="66.85546875" customWidth="1"/>
    <col min="2" max="2" width="18.5703125" customWidth="1"/>
    <col min="3" max="4" width="15.85546875" customWidth="1"/>
    <col min="5" max="5" width="17.7109375" customWidth="1"/>
    <col min="6" max="6" width="16.42578125" customWidth="1"/>
    <col min="7" max="7" width="21.85546875" customWidth="1"/>
    <col min="8" max="8" width="41.140625" customWidth="1"/>
    <col min="11" max="11" width="16.85546875" customWidth="1"/>
    <col min="12" max="12" width="17.7109375" customWidth="1"/>
  </cols>
  <sheetData>
    <row r="1" spans="1:13" ht="32.25" thickBot="1" x14ac:dyDescent="0.55000000000000004">
      <c r="A1" s="1" t="s">
        <v>96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1"/>
    </row>
    <row r="2" spans="1:13" ht="31.5" x14ac:dyDescent="0.5">
      <c r="A2" s="9" t="s">
        <v>59</v>
      </c>
      <c r="B2" s="10" t="s">
        <v>60</v>
      </c>
      <c r="C2" s="10" t="s">
        <v>61</v>
      </c>
      <c r="D2" s="10" t="s">
        <v>98</v>
      </c>
      <c r="E2" s="10" t="s">
        <v>62</v>
      </c>
      <c r="F2" s="10" t="s">
        <v>63</v>
      </c>
      <c r="G2" s="11" t="s">
        <v>64</v>
      </c>
      <c r="H2" s="1"/>
      <c r="I2" s="1"/>
      <c r="J2" s="1"/>
      <c r="K2" s="2" t="s">
        <v>65</v>
      </c>
      <c r="L2" s="2" t="s">
        <v>99</v>
      </c>
      <c r="M2" s="1"/>
    </row>
    <row r="3" spans="1:13" ht="31.5" x14ac:dyDescent="0.5">
      <c r="A3" s="3" t="s">
        <v>66</v>
      </c>
      <c r="B3" s="4">
        <v>1</v>
      </c>
      <c r="C3" s="4">
        <v>3194</v>
      </c>
      <c r="D3" s="4">
        <f>C3*0.454</f>
        <v>1450.076</v>
      </c>
      <c r="E3" s="4">
        <v>33000</v>
      </c>
      <c r="F3" s="5">
        <v>0</v>
      </c>
      <c r="G3" s="6">
        <f t="shared" ref="G3:G22" si="0">E3*B3+F3</f>
        <v>33000</v>
      </c>
      <c r="H3" s="1" t="s">
        <v>101</v>
      </c>
      <c r="I3" s="1"/>
      <c r="J3" s="1"/>
      <c r="K3" s="2">
        <f>G3/C3</f>
        <v>10.331872260488415</v>
      </c>
      <c r="L3" s="2">
        <f>K3*2.2</f>
        <v>22.730118973074514</v>
      </c>
      <c r="M3" s="1" t="s">
        <v>102</v>
      </c>
    </row>
    <row r="4" spans="1:13" ht="31.5" x14ac:dyDescent="0.5">
      <c r="A4" s="3" t="s">
        <v>107</v>
      </c>
      <c r="B4" s="4">
        <f>C4/25</f>
        <v>20.399999999999999</v>
      </c>
      <c r="C4" s="4">
        <v>510</v>
      </c>
      <c r="D4" s="4">
        <f t="shared" ref="D4:D6" si="1">C4*0.454</f>
        <v>231.54000000000002</v>
      </c>
      <c r="E4" s="5">
        <f>56*25</f>
        <v>1400</v>
      </c>
      <c r="F4" s="4"/>
      <c r="G4" s="6">
        <f t="shared" si="0"/>
        <v>28559.999999999996</v>
      </c>
      <c r="H4" s="1" t="s">
        <v>70</v>
      </c>
      <c r="I4" s="1"/>
      <c r="J4" s="1"/>
      <c r="K4" s="2">
        <f t="shared" ref="K4:K6" si="2">G4/C4</f>
        <v>55.999999999999993</v>
      </c>
      <c r="L4" s="2">
        <f t="shared" ref="L4:L6" si="3">K4*2.2</f>
        <v>123.19999999999999</v>
      </c>
      <c r="M4" s="1" t="s">
        <v>100</v>
      </c>
    </row>
    <row r="5" spans="1:13" ht="31.5" x14ac:dyDescent="0.5">
      <c r="A5" s="3" t="s">
        <v>72</v>
      </c>
      <c r="B5" s="4">
        <f>C5/26</f>
        <v>3421.7307692307691</v>
      </c>
      <c r="C5" s="4">
        <v>88965</v>
      </c>
      <c r="D5" s="4">
        <f t="shared" si="1"/>
        <v>40390.11</v>
      </c>
      <c r="E5" s="4">
        <v>52</v>
      </c>
      <c r="F5" s="4">
        <v>2000</v>
      </c>
      <c r="G5" s="6">
        <f t="shared" si="0"/>
        <v>179930</v>
      </c>
      <c r="H5" s="1" t="s">
        <v>73</v>
      </c>
      <c r="I5" s="1"/>
      <c r="J5" s="1"/>
      <c r="K5" s="2">
        <f t="shared" si="2"/>
        <v>2.0224807508570786</v>
      </c>
      <c r="L5" s="2">
        <f t="shared" si="3"/>
        <v>4.4494576518855729</v>
      </c>
      <c r="M5" s="1" t="s">
        <v>74</v>
      </c>
    </row>
    <row r="6" spans="1:13" ht="31.5" x14ac:dyDescent="0.5">
      <c r="A6" s="3" t="s">
        <v>75</v>
      </c>
      <c r="B6" s="4">
        <f>C6/160</f>
        <v>71.587500000000006</v>
      </c>
      <c r="C6" s="4">
        <v>11454</v>
      </c>
      <c r="D6" s="4">
        <f t="shared" si="1"/>
        <v>5200.116</v>
      </c>
      <c r="E6" s="4">
        <v>800</v>
      </c>
      <c r="F6" s="4">
        <f>B6*400</f>
        <v>28635.000000000004</v>
      </c>
      <c r="G6" s="6">
        <f t="shared" si="0"/>
        <v>85905.000000000015</v>
      </c>
      <c r="H6" s="1" t="s">
        <v>76</v>
      </c>
      <c r="I6" s="1"/>
      <c r="J6" s="1"/>
      <c r="K6" s="2">
        <f t="shared" si="2"/>
        <v>7.5000000000000009</v>
      </c>
      <c r="L6" s="2">
        <f t="shared" si="3"/>
        <v>16.500000000000004</v>
      </c>
      <c r="M6" s="1" t="s">
        <v>74</v>
      </c>
    </row>
    <row r="7" spans="1:13" ht="31.5" x14ac:dyDescent="0.5">
      <c r="A7" s="3" t="s">
        <v>103</v>
      </c>
      <c r="B7" s="4">
        <v>1</v>
      </c>
      <c r="C7" s="4">
        <v>3436</v>
      </c>
      <c r="D7" s="4">
        <f>C7*0.454</f>
        <v>1559.944</v>
      </c>
      <c r="E7" s="4">
        <f>C7*5</f>
        <v>17180</v>
      </c>
      <c r="F7" s="5">
        <v>0</v>
      </c>
      <c r="G7" s="6">
        <f t="shared" ref="G7" si="4">E7*B7+F7</f>
        <v>17180</v>
      </c>
      <c r="H7" s="1" t="s">
        <v>104</v>
      </c>
      <c r="I7" s="1"/>
      <c r="J7" s="1"/>
      <c r="K7" s="2">
        <f>G7/C7</f>
        <v>5</v>
      </c>
      <c r="L7" s="2">
        <f>K7*2.2</f>
        <v>11</v>
      </c>
      <c r="M7" s="1" t="s">
        <v>106</v>
      </c>
    </row>
    <row r="8" spans="1:13" ht="31.5" x14ac:dyDescent="0.5">
      <c r="A8" s="3" t="s">
        <v>105</v>
      </c>
      <c r="B8" s="4">
        <v>1</v>
      </c>
      <c r="C8" s="4">
        <v>38678</v>
      </c>
      <c r="D8" s="4">
        <f>C8*0.454</f>
        <v>17559.812000000002</v>
      </c>
      <c r="E8" s="4">
        <f>C8*5</f>
        <v>193390</v>
      </c>
      <c r="F8" s="5">
        <v>0</v>
      </c>
      <c r="G8" s="6">
        <f t="shared" ref="G8:G9" si="5">E8*B8+F8</f>
        <v>193390</v>
      </c>
      <c r="H8" s="1" t="s">
        <v>104</v>
      </c>
      <c r="I8" s="1"/>
      <c r="J8" s="1"/>
      <c r="K8" s="2">
        <f>G8/C8</f>
        <v>5</v>
      </c>
      <c r="L8" s="2">
        <f>K8*2.2</f>
        <v>11</v>
      </c>
      <c r="M8" s="1" t="s">
        <v>106</v>
      </c>
    </row>
    <row r="9" spans="1:13" ht="31.5" x14ac:dyDescent="0.5">
      <c r="A9" s="3" t="s">
        <v>114</v>
      </c>
      <c r="B9" s="4">
        <f>D9/28</f>
        <v>2045.7077857142856</v>
      </c>
      <c r="C9" s="4">
        <v>126167</v>
      </c>
      <c r="D9" s="4">
        <f>C9*0.454</f>
        <v>57279.817999999999</v>
      </c>
      <c r="E9" s="4">
        <v>10</v>
      </c>
      <c r="F9" s="5">
        <v>10000</v>
      </c>
      <c r="G9" s="6">
        <f t="shared" si="5"/>
        <v>30457.077857142856</v>
      </c>
      <c r="H9" s="1" t="s">
        <v>108</v>
      </c>
      <c r="I9" s="1"/>
      <c r="J9" s="1"/>
      <c r="K9" s="2">
        <f>G9/C9</f>
        <v>0.24140288551794731</v>
      </c>
      <c r="L9" s="2">
        <f>K9*2.2</f>
        <v>0.53108634813948408</v>
      </c>
      <c r="M9" s="1" t="s">
        <v>109</v>
      </c>
    </row>
    <row r="10" spans="1:13" ht="31.5" x14ac:dyDescent="0.5">
      <c r="A10" s="3" t="s">
        <v>95</v>
      </c>
      <c r="B10" s="4">
        <v>3</v>
      </c>
      <c r="C10" s="4"/>
      <c r="D10" s="4"/>
      <c r="E10" s="4">
        <v>2800</v>
      </c>
      <c r="F10" s="4"/>
      <c r="G10" s="6">
        <f t="shared" si="0"/>
        <v>8400</v>
      </c>
      <c r="H10" s="1"/>
      <c r="I10" s="1"/>
      <c r="J10" s="1"/>
      <c r="K10" s="2"/>
      <c r="L10" s="2"/>
      <c r="M10" s="1"/>
    </row>
    <row r="11" spans="1:13" ht="31.5" x14ac:dyDescent="0.5">
      <c r="A11" s="12" t="s">
        <v>77</v>
      </c>
      <c r="B11" s="20">
        <v>1</v>
      </c>
      <c r="C11" s="13"/>
      <c r="D11" s="13"/>
      <c r="E11" s="14">
        <v>30000</v>
      </c>
      <c r="F11" s="13"/>
      <c r="G11" s="6">
        <f t="shared" si="0"/>
        <v>30000</v>
      </c>
    </row>
    <row r="12" spans="1:13" ht="31.5" x14ac:dyDescent="0.5">
      <c r="A12" s="12" t="s">
        <v>78</v>
      </c>
      <c r="B12" s="20">
        <v>1</v>
      </c>
      <c r="C12" s="13"/>
      <c r="D12" s="13"/>
      <c r="E12" s="14">
        <v>4000</v>
      </c>
      <c r="F12" s="13"/>
      <c r="G12" s="6">
        <f t="shared" si="0"/>
        <v>4000</v>
      </c>
    </row>
    <row r="13" spans="1:13" ht="31.5" x14ac:dyDescent="0.5">
      <c r="A13" s="12" t="s">
        <v>79</v>
      </c>
      <c r="B13" s="20">
        <v>1</v>
      </c>
      <c r="C13" s="13"/>
      <c r="D13" s="13"/>
      <c r="E13" s="14">
        <v>5000</v>
      </c>
      <c r="F13" s="13"/>
      <c r="G13" s="6">
        <f t="shared" si="0"/>
        <v>5000</v>
      </c>
    </row>
    <row r="14" spans="1:13" ht="31.5" x14ac:dyDescent="0.5">
      <c r="A14" s="12" t="s">
        <v>86</v>
      </c>
      <c r="B14" s="20">
        <v>1</v>
      </c>
      <c r="C14" s="13"/>
      <c r="D14" s="13"/>
      <c r="E14" s="14">
        <v>10000</v>
      </c>
      <c r="F14" s="13"/>
      <c r="G14" s="6">
        <f t="shared" si="0"/>
        <v>10000</v>
      </c>
    </row>
    <row r="15" spans="1:13" ht="31.5" x14ac:dyDescent="0.5">
      <c r="A15" s="12" t="s">
        <v>87</v>
      </c>
      <c r="B15" s="20">
        <v>1</v>
      </c>
      <c r="C15" s="13"/>
      <c r="D15" s="13"/>
      <c r="E15" s="14">
        <v>15000</v>
      </c>
      <c r="F15" s="13"/>
      <c r="G15" s="6">
        <f t="shared" si="0"/>
        <v>15000</v>
      </c>
      <c r="M15" s="30" t="s">
        <v>97</v>
      </c>
    </row>
    <row r="16" spans="1:13" ht="31.5" x14ac:dyDescent="0.5">
      <c r="A16" s="12" t="s">
        <v>80</v>
      </c>
      <c r="B16" s="20">
        <v>1</v>
      </c>
      <c r="C16" s="4">
        <v>2202.65</v>
      </c>
      <c r="D16" s="4">
        <f>C16*0.454</f>
        <v>1000.0031</v>
      </c>
      <c r="E16" s="14">
        <v>110000</v>
      </c>
      <c r="F16" s="13"/>
      <c r="G16" s="6">
        <f t="shared" si="0"/>
        <v>110000</v>
      </c>
      <c r="H16" s="31" t="s">
        <v>83</v>
      </c>
    </row>
    <row r="17" spans="1:8" ht="31.5" x14ac:dyDescent="0.5">
      <c r="A17" s="12" t="s">
        <v>81</v>
      </c>
      <c r="B17" s="20">
        <v>1</v>
      </c>
      <c r="C17" s="13"/>
      <c r="D17" s="13"/>
      <c r="E17" s="14">
        <v>100000</v>
      </c>
      <c r="F17" s="13"/>
      <c r="G17" s="6">
        <f t="shared" si="0"/>
        <v>100000</v>
      </c>
    </row>
    <row r="18" spans="1:8" ht="31.5" x14ac:dyDescent="0.5">
      <c r="A18" s="12" t="s">
        <v>88</v>
      </c>
      <c r="B18" s="20">
        <v>1</v>
      </c>
      <c r="C18" s="13"/>
      <c r="D18" s="13"/>
      <c r="E18" s="14">
        <v>15000</v>
      </c>
      <c r="F18" s="13"/>
      <c r="G18" s="6">
        <f t="shared" si="0"/>
        <v>15000</v>
      </c>
    </row>
    <row r="19" spans="1:8" ht="31.5" x14ac:dyDescent="0.5">
      <c r="A19" s="12" t="s">
        <v>84</v>
      </c>
      <c r="B19" s="20">
        <v>1</v>
      </c>
      <c r="C19" s="13"/>
      <c r="D19" s="13"/>
      <c r="E19" s="14">
        <v>20000</v>
      </c>
      <c r="F19" s="13"/>
      <c r="G19" s="6">
        <f t="shared" si="0"/>
        <v>20000</v>
      </c>
    </row>
    <row r="20" spans="1:8" ht="31.5" x14ac:dyDescent="0.5">
      <c r="A20" s="12" t="s">
        <v>91</v>
      </c>
      <c r="B20" s="21">
        <v>20</v>
      </c>
      <c r="C20" s="13"/>
      <c r="D20" s="13"/>
      <c r="E20" s="14">
        <v>200</v>
      </c>
      <c r="F20" s="13"/>
      <c r="G20" s="22">
        <f t="shared" si="0"/>
        <v>4000</v>
      </c>
    </row>
    <row r="21" spans="1:8" ht="31.5" x14ac:dyDescent="0.5">
      <c r="A21" s="25" t="s">
        <v>92</v>
      </c>
      <c r="B21" s="26">
        <v>1</v>
      </c>
      <c r="C21" s="27"/>
      <c r="D21" s="27"/>
      <c r="E21" s="28">
        <v>20000</v>
      </c>
      <c r="F21" s="27"/>
      <c r="G21" s="29">
        <f t="shared" si="0"/>
        <v>20000</v>
      </c>
    </row>
    <row r="22" spans="1:8" ht="32.25" thickBot="1" x14ac:dyDescent="0.55000000000000004">
      <c r="A22" s="15" t="s">
        <v>90</v>
      </c>
      <c r="B22" s="23">
        <v>5</v>
      </c>
      <c r="C22" s="16"/>
      <c r="D22" s="16"/>
      <c r="E22" s="17">
        <v>1500</v>
      </c>
      <c r="F22" s="16"/>
      <c r="G22" s="24">
        <f t="shared" si="0"/>
        <v>7500</v>
      </c>
    </row>
    <row r="23" spans="1:8" ht="31.5" x14ac:dyDescent="0.5">
      <c r="A23" s="7" t="s">
        <v>82</v>
      </c>
      <c r="C23" s="32">
        <f>SUM(C3:C22)</f>
        <v>274606.65000000002</v>
      </c>
      <c r="D23" s="32">
        <f>SUM(D3:D22)</f>
        <v>124671.41910000001</v>
      </c>
      <c r="G23" s="8">
        <f>SUM(G3:G22)</f>
        <v>917322.0778571429</v>
      </c>
    </row>
    <row r="24" spans="1:8" ht="28.5" x14ac:dyDescent="0.45">
      <c r="G24" s="8">
        <f>SUM(G3:G9)+G16</f>
        <v>678422.0778571429</v>
      </c>
      <c r="H24" s="33" t="s">
        <v>113</v>
      </c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F10" sqref="F10"/>
    </sheetView>
  </sheetViews>
  <sheetFormatPr defaultRowHeight="15" x14ac:dyDescent="0.25"/>
  <cols>
    <col min="1" max="1" width="66.85546875" customWidth="1"/>
    <col min="2" max="2" width="18.5703125" customWidth="1"/>
    <col min="3" max="4" width="15.85546875" customWidth="1"/>
    <col min="5" max="5" width="17.7109375" customWidth="1"/>
    <col min="6" max="6" width="16.42578125" customWidth="1"/>
    <col min="7" max="7" width="21.85546875" customWidth="1"/>
    <col min="8" max="8" width="41.140625" customWidth="1"/>
    <col min="11" max="11" width="16.85546875" customWidth="1"/>
    <col min="12" max="12" width="17.7109375" customWidth="1"/>
  </cols>
  <sheetData>
    <row r="1" spans="1:13" ht="32.25" thickBot="1" x14ac:dyDescent="0.55000000000000004">
      <c r="A1" s="1" t="s">
        <v>110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  <c r="M1" s="1"/>
    </row>
    <row r="2" spans="1:13" ht="31.5" x14ac:dyDescent="0.5">
      <c r="A2" s="9" t="s">
        <v>59</v>
      </c>
      <c r="B2" s="10" t="s">
        <v>60</v>
      </c>
      <c r="C2" s="10" t="s">
        <v>61</v>
      </c>
      <c r="D2" s="10" t="s">
        <v>98</v>
      </c>
      <c r="E2" s="10" t="s">
        <v>62</v>
      </c>
      <c r="F2" s="10" t="s">
        <v>63</v>
      </c>
      <c r="G2" s="11" t="s">
        <v>64</v>
      </c>
      <c r="H2" s="1"/>
      <c r="I2" s="1"/>
      <c r="J2" s="1"/>
      <c r="K2" s="2" t="s">
        <v>65</v>
      </c>
      <c r="L2" s="2" t="s">
        <v>99</v>
      </c>
      <c r="M2" s="1"/>
    </row>
    <row r="3" spans="1:13" ht="31.5" x14ac:dyDescent="0.5">
      <c r="A3" s="3" t="s">
        <v>66</v>
      </c>
      <c r="B3" s="4">
        <v>1</v>
      </c>
      <c r="C3" s="4">
        <v>6388</v>
      </c>
      <c r="D3" s="4">
        <f>C3*0.454</f>
        <v>2900.152</v>
      </c>
      <c r="E3" s="4">
        <v>66000</v>
      </c>
      <c r="F3" s="5">
        <v>0</v>
      </c>
      <c r="G3" s="6">
        <f t="shared" ref="G3:G22" si="0">E3*B3+F3</f>
        <v>66000</v>
      </c>
      <c r="H3" s="1" t="s">
        <v>101</v>
      </c>
      <c r="I3" s="1"/>
      <c r="J3" s="1"/>
      <c r="K3" s="2">
        <f>G3/C3</f>
        <v>10.331872260488415</v>
      </c>
      <c r="L3" s="2">
        <f>K3*2.2</f>
        <v>22.730118973074514</v>
      </c>
      <c r="M3" s="1" t="s">
        <v>102</v>
      </c>
    </row>
    <row r="4" spans="1:13" ht="31.5" x14ac:dyDescent="0.5">
      <c r="A4" s="3" t="s">
        <v>112</v>
      </c>
      <c r="B4" s="4" t="s">
        <v>40</v>
      </c>
      <c r="C4" s="4" t="s">
        <v>40</v>
      </c>
      <c r="D4" s="4" t="s">
        <v>40</v>
      </c>
      <c r="E4" s="5" t="s">
        <v>40</v>
      </c>
      <c r="F4" s="4" t="s">
        <v>40</v>
      </c>
      <c r="G4" s="6" t="s">
        <v>40</v>
      </c>
      <c r="H4" s="1" t="s">
        <v>40</v>
      </c>
      <c r="I4" s="1"/>
      <c r="J4" s="1"/>
      <c r="K4" s="2" t="s">
        <v>40</v>
      </c>
      <c r="L4" s="2" t="s">
        <v>40</v>
      </c>
      <c r="M4" s="1" t="s">
        <v>40</v>
      </c>
    </row>
    <row r="5" spans="1:13" ht="31.5" x14ac:dyDescent="0.5">
      <c r="A5" s="3" t="s">
        <v>72</v>
      </c>
      <c r="B5" s="4">
        <f>C5/26</f>
        <v>4185.0230769230775</v>
      </c>
      <c r="C5" s="4">
        <v>108810.6</v>
      </c>
      <c r="D5" s="4">
        <f t="shared" ref="D4:D6" si="1">C5*0.454</f>
        <v>49400.012400000007</v>
      </c>
      <c r="E5" s="4">
        <v>52</v>
      </c>
      <c r="F5" s="4">
        <v>2000</v>
      </c>
      <c r="G5" s="6">
        <f t="shared" si="0"/>
        <v>219621.20000000004</v>
      </c>
      <c r="H5" s="1" t="s">
        <v>73</v>
      </c>
      <c r="I5" s="1"/>
      <c r="J5" s="1"/>
      <c r="K5" s="2">
        <f t="shared" ref="K4:K6" si="2">G5/C5</f>
        <v>2.0183805621878754</v>
      </c>
      <c r="L5" s="2">
        <f t="shared" ref="L4:L6" si="3">K5*2.2</f>
        <v>4.4404372368133265</v>
      </c>
      <c r="M5" s="1" t="s">
        <v>74</v>
      </c>
    </row>
    <row r="6" spans="1:13" ht="31.5" x14ac:dyDescent="0.5">
      <c r="A6" s="3" t="s">
        <v>75</v>
      </c>
      <c r="B6" s="4">
        <f>C6/160</f>
        <v>33.041250000000005</v>
      </c>
      <c r="C6" s="4">
        <v>5286.6</v>
      </c>
      <c r="D6" s="4">
        <f t="shared" si="1"/>
        <v>2400.1164000000003</v>
      </c>
      <c r="E6" s="4">
        <v>800</v>
      </c>
      <c r="F6" s="4">
        <f>B6*400</f>
        <v>13216.500000000002</v>
      </c>
      <c r="G6" s="6">
        <f t="shared" si="0"/>
        <v>39649.500000000007</v>
      </c>
      <c r="H6" s="1" t="s">
        <v>76</v>
      </c>
      <c r="I6" s="1"/>
      <c r="J6" s="1"/>
      <c r="K6" s="2">
        <f t="shared" si="2"/>
        <v>7.5000000000000009</v>
      </c>
      <c r="L6" s="2">
        <f t="shared" si="3"/>
        <v>16.500000000000004</v>
      </c>
      <c r="M6" s="1" t="s">
        <v>74</v>
      </c>
    </row>
    <row r="7" spans="1:13" ht="31.5" x14ac:dyDescent="0.5">
      <c r="A7" s="3" t="s">
        <v>103</v>
      </c>
      <c r="B7" s="4">
        <v>1</v>
      </c>
      <c r="C7" s="4">
        <v>25771</v>
      </c>
      <c r="D7" s="4">
        <f>C7*0.454</f>
        <v>11700.034</v>
      </c>
      <c r="E7" s="4">
        <f>C7*5</f>
        <v>128855</v>
      </c>
      <c r="F7" s="5">
        <v>0</v>
      </c>
      <c r="G7" s="6">
        <f t="shared" si="0"/>
        <v>128855</v>
      </c>
      <c r="H7" s="1" t="s">
        <v>104</v>
      </c>
      <c r="I7" s="1"/>
      <c r="J7" s="1"/>
      <c r="K7" s="2">
        <f>G7/C7</f>
        <v>5</v>
      </c>
      <c r="L7" s="2">
        <f>K7*2.2</f>
        <v>11</v>
      </c>
      <c r="M7" s="1" t="s">
        <v>106</v>
      </c>
    </row>
    <row r="8" spans="1:13" ht="31.5" x14ac:dyDescent="0.5">
      <c r="A8" s="3" t="s">
        <v>111</v>
      </c>
      <c r="B8" s="4" t="s">
        <v>40</v>
      </c>
      <c r="C8" s="4" t="s">
        <v>40</v>
      </c>
      <c r="D8" s="4" t="s">
        <v>40</v>
      </c>
      <c r="E8" s="4" t="s">
        <v>40</v>
      </c>
      <c r="F8" s="5" t="s">
        <v>40</v>
      </c>
      <c r="G8" s="6" t="s">
        <v>40</v>
      </c>
      <c r="H8" s="1" t="s">
        <v>40</v>
      </c>
      <c r="I8" s="1"/>
      <c r="J8" s="1"/>
      <c r="K8" s="2" t="s">
        <v>40</v>
      </c>
      <c r="L8" s="2" t="s">
        <v>40</v>
      </c>
      <c r="M8" s="1" t="s">
        <v>40</v>
      </c>
    </row>
    <row r="9" spans="1:13" ht="31.5" x14ac:dyDescent="0.5">
      <c r="A9" s="3" t="s">
        <v>115</v>
      </c>
      <c r="B9" s="4">
        <v>250</v>
      </c>
      <c r="C9" s="4">
        <v>15418.5</v>
      </c>
      <c r="D9" s="4">
        <f>C9*0.454</f>
        <v>6999.9989999999998</v>
      </c>
      <c r="E9" s="4">
        <v>10</v>
      </c>
      <c r="F9" s="5">
        <v>10000</v>
      </c>
      <c r="G9" s="6">
        <f t="shared" ref="G9" si="4">E9*B9+F9</f>
        <v>12500</v>
      </c>
      <c r="H9" s="1" t="s">
        <v>108</v>
      </c>
      <c r="I9" s="1"/>
      <c r="J9" s="1"/>
      <c r="K9" s="2">
        <f>G9/C9</f>
        <v>0.81071440153062879</v>
      </c>
      <c r="L9" s="2">
        <f>K9*2.2</f>
        <v>1.7835716833673836</v>
      </c>
      <c r="M9" s="1" t="s">
        <v>109</v>
      </c>
    </row>
    <row r="10" spans="1:13" ht="31.5" x14ac:dyDescent="0.5">
      <c r="A10" s="3" t="s">
        <v>95</v>
      </c>
      <c r="B10" s="4">
        <v>3</v>
      </c>
      <c r="C10" s="4"/>
      <c r="D10" s="4"/>
      <c r="E10" s="4">
        <v>2800</v>
      </c>
      <c r="F10" s="4"/>
      <c r="G10" s="6">
        <f t="shared" si="0"/>
        <v>8400</v>
      </c>
      <c r="H10" s="1"/>
      <c r="I10" s="1"/>
      <c r="J10" s="1"/>
      <c r="K10" s="2"/>
      <c r="L10" s="2"/>
      <c r="M10" s="1"/>
    </row>
    <row r="11" spans="1:13" ht="31.5" x14ac:dyDescent="0.5">
      <c r="A11" s="12" t="s">
        <v>77</v>
      </c>
      <c r="B11" s="20">
        <v>1</v>
      </c>
      <c r="C11" s="13"/>
      <c r="D11" s="13"/>
      <c r="E11" s="14">
        <v>30000</v>
      </c>
      <c r="F11" s="13"/>
      <c r="G11" s="6">
        <f t="shared" si="0"/>
        <v>30000</v>
      </c>
    </row>
    <row r="12" spans="1:13" ht="31.5" x14ac:dyDescent="0.5">
      <c r="A12" s="12" t="s">
        <v>78</v>
      </c>
      <c r="B12" s="20">
        <v>1</v>
      </c>
      <c r="C12" s="13"/>
      <c r="D12" s="13"/>
      <c r="E12" s="14">
        <v>4000</v>
      </c>
      <c r="F12" s="13"/>
      <c r="G12" s="6">
        <f t="shared" si="0"/>
        <v>4000</v>
      </c>
    </row>
    <row r="13" spans="1:13" ht="31.5" x14ac:dyDescent="0.5">
      <c r="A13" s="12" t="s">
        <v>79</v>
      </c>
      <c r="B13" s="20">
        <v>1</v>
      </c>
      <c r="C13" s="13"/>
      <c r="D13" s="13"/>
      <c r="E13" s="14">
        <v>5000</v>
      </c>
      <c r="F13" s="13"/>
      <c r="G13" s="6">
        <f t="shared" si="0"/>
        <v>5000</v>
      </c>
    </row>
    <row r="14" spans="1:13" ht="31.5" x14ac:dyDescent="0.5">
      <c r="A14" s="12" t="s">
        <v>86</v>
      </c>
      <c r="B14" s="20">
        <v>1</v>
      </c>
      <c r="C14" s="13"/>
      <c r="D14" s="13"/>
      <c r="E14" s="14">
        <v>10000</v>
      </c>
      <c r="F14" s="13"/>
      <c r="G14" s="6">
        <f t="shared" si="0"/>
        <v>10000</v>
      </c>
    </row>
    <row r="15" spans="1:13" ht="31.5" x14ac:dyDescent="0.5">
      <c r="A15" s="12" t="s">
        <v>87</v>
      </c>
      <c r="B15" s="20">
        <v>1</v>
      </c>
      <c r="C15" s="13"/>
      <c r="D15" s="13"/>
      <c r="E15" s="14">
        <v>15000</v>
      </c>
      <c r="F15" s="13"/>
      <c r="G15" s="6">
        <f t="shared" si="0"/>
        <v>15000</v>
      </c>
      <c r="M15" s="30" t="s">
        <v>40</v>
      </c>
    </row>
    <row r="16" spans="1:13" ht="31.5" x14ac:dyDescent="0.5">
      <c r="A16" s="12" t="s">
        <v>80</v>
      </c>
      <c r="B16" s="20">
        <v>2</v>
      </c>
      <c r="C16" s="4">
        <f>2202.65 *B16</f>
        <v>4405.3</v>
      </c>
      <c r="D16" s="4">
        <f>C16*0.454</f>
        <v>2000.0062</v>
      </c>
      <c r="E16" s="14">
        <v>88000</v>
      </c>
      <c r="F16" s="13"/>
      <c r="G16" s="6">
        <f t="shared" si="0"/>
        <v>176000</v>
      </c>
      <c r="H16" s="31" t="s">
        <v>83</v>
      </c>
    </row>
    <row r="17" spans="1:8" ht="31.5" x14ac:dyDescent="0.5">
      <c r="A17" s="12" t="s">
        <v>81</v>
      </c>
      <c r="B17" s="20">
        <v>1</v>
      </c>
      <c r="C17" s="13"/>
      <c r="D17" s="13"/>
      <c r="E17" s="14">
        <v>100000</v>
      </c>
      <c r="F17" s="13"/>
      <c r="G17" s="6">
        <f t="shared" si="0"/>
        <v>100000</v>
      </c>
    </row>
    <row r="18" spans="1:8" ht="31.5" x14ac:dyDescent="0.5">
      <c r="A18" s="12" t="s">
        <v>88</v>
      </c>
      <c r="B18" s="20">
        <v>1</v>
      </c>
      <c r="C18" s="13"/>
      <c r="D18" s="13"/>
      <c r="E18" s="14">
        <v>15000</v>
      </c>
      <c r="F18" s="13"/>
      <c r="G18" s="6">
        <f t="shared" si="0"/>
        <v>15000</v>
      </c>
    </row>
    <row r="19" spans="1:8" ht="31.5" x14ac:dyDescent="0.5">
      <c r="A19" s="12" t="s">
        <v>84</v>
      </c>
      <c r="B19" s="20">
        <v>1</v>
      </c>
      <c r="C19" s="13"/>
      <c r="D19" s="13"/>
      <c r="E19" s="14">
        <v>20000</v>
      </c>
      <c r="F19" s="13"/>
      <c r="G19" s="6">
        <f t="shared" si="0"/>
        <v>20000</v>
      </c>
    </row>
    <row r="20" spans="1:8" ht="31.5" x14ac:dyDescent="0.5">
      <c r="A20" s="12" t="s">
        <v>91</v>
      </c>
      <c r="B20" s="21">
        <v>20</v>
      </c>
      <c r="C20" s="13"/>
      <c r="D20" s="13"/>
      <c r="E20" s="14">
        <v>200</v>
      </c>
      <c r="F20" s="13"/>
      <c r="G20" s="22">
        <f t="shared" si="0"/>
        <v>4000</v>
      </c>
    </row>
    <row r="21" spans="1:8" ht="31.5" x14ac:dyDescent="0.5">
      <c r="A21" s="25" t="s">
        <v>92</v>
      </c>
      <c r="B21" s="26">
        <v>1</v>
      </c>
      <c r="C21" s="27"/>
      <c r="D21" s="27"/>
      <c r="E21" s="28">
        <v>20000</v>
      </c>
      <c r="F21" s="27"/>
      <c r="G21" s="29">
        <f t="shared" si="0"/>
        <v>20000</v>
      </c>
    </row>
    <row r="22" spans="1:8" ht="32.25" thickBot="1" x14ac:dyDescent="0.55000000000000004">
      <c r="A22" s="15" t="s">
        <v>90</v>
      </c>
      <c r="B22" s="23">
        <v>5</v>
      </c>
      <c r="C22" s="16"/>
      <c r="D22" s="16"/>
      <c r="E22" s="17">
        <v>1500</v>
      </c>
      <c r="F22" s="16"/>
      <c r="G22" s="24">
        <f t="shared" si="0"/>
        <v>7500</v>
      </c>
    </row>
    <row r="23" spans="1:8" ht="31.5" x14ac:dyDescent="0.5">
      <c r="A23" s="7" t="s">
        <v>82</v>
      </c>
      <c r="C23" s="32">
        <f>SUM(C3:C22)</f>
        <v>166080</v>
      </c>
      <c r="D23" s="32">
        <f>SUM(D3:D22)</f>
        <v>75400.320000000007</v>
      </c>
      <c r="G23" s="8">
        <f>SUM(G3:G22)</f>
        <v>881525.70000000007</v>
      </c>
    </row>
    <row r="24" spans="1:8" ht="28.5" x14ac:dyDescent="0.45">
      <c r="G24" s="8">
        <f>SUM(G3:G9)+G16</f>
        <v>642625.70000000007</v>
      </c>
      <c r="H24" s="33" t="s">
        <v>113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Installation</vt:lpstr>
      <vt:lpstr>Material</vt:lpstr>
      <vt:lpstr>Design and procure</vt:lpstr>
      <vt:lpstr>Pavel Material</vt:lpstr>
      <vt:lpstr>Vitaly Material</vt:lpstr>
    </vt:vector>
  </TitlesOfParts>
  <Company>JLAB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whitey</dc:creator>
  <cp:lastModifiedBy>whitey</cp:lastModifiedBy>
  <dcterms:created xsi:type="dcterms:W3CDTF">2022-12-14T18:26:36Z</dcterms:created>
  <dcterms:modified xsi:type="dcterms:W3CDTF">2023-06-27T10:26:43Z</dcterms:modified>
</cp:coreProperties>
</file>